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docProps/app.xml" ContentType="application/vnd.openxmlformats-officedocument.extended-properties+xml"/>
  <Default Extension="rels" ContentType="application/vnd.openxmlformats-package.relationships+xml"/>
  <Override PartName="/xl/sharedStrings.xml" ContentType="application/vnd.openxmlformats-officedocument.spreadsheetml.sharedStrings+xml"/>
  <Override PartName="/xl/worksheets/sheet5.xml" ContentType="application/vnd.openxmlformats-officedocument.spreadsheetml.worksheet+xml"/>
  <Override PartName="/xl/calcChain.xml" ContentType="application/vnd.openxmlformats-officedocument.spreadsheetml.calcChain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autoCompressPictures="0"/>
  <bookViews>
    <workbookView xWindow="0" yWindow="-1660" windowWidth="19200" windowHeight="8720"/>
  </bookViews>
  <sheets>
    <sheet name="Lecture" sheetId="1" r:id="rId1"/>
    <sheet name="New Example" sheetId="4" r:id="rId2"/>
    <sheet name="Trans Costs" sheetId="5" r:id="rId3"/>
    <sheet name="Key 1" sheetId="2" r:id="rId4"/>
    <sheet name="Key 2" sheetId="3" r:id="rId5"/>
  </sheets>
  <calcPr calcId="130404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E26" i="2"/>
  <c r="D26"/>
  <c r="E25"/>
  <c r="D25"/>
  <c r="D23"/>
  <c r="E19"/>
  <c r="D19"/>
  <c r="C10"/>
  <c r="C9"/>
  <c r="E23" i="3"/>
  <c r="C23"/>
  <c r="E21"/>
  <c r="C21"/>
  <c r="I19"/>
  <c r="E17"/>
  <c r="C17"/>
  <c r="G10"/>
  <c r="E10"/>
  <c r="C10"/>
  <c r="G9"/>
  <c r="E9"/>
  <c r="C9"/>
  <c r="G20" i="1"/>
  <c r="G80"/>
  <c r="F82"/>
  <c r="G12"/>
  <c r="D83"/>
  <c r="G83"/>
  <c r="H86"/>
  <c r="K86"/>
  <c r="I88"/>
  <c r="E80"/>
  <c r="F12"/>
  <c r="K12"/>
  <c r="E75"/>
  <c r="F20"/>
  <c r="K20"/>
  <c r="E74"/>
  <c r="I84"/>
  <c r="K88"/>
  <c r="K89"/>
  <c r="K90"/>
  <c r="I89"/>
  <c r="I90"/>
  <c r="O69"/>
  <c r="J65"/>
  <c r="E34"/>
  <c r="E39"/>
  <c r="E42"/>
  <c r="E44"/>
  <c r="F32"/>
  <c r="D34"/>
  <c r="H41"/>
  <c r="D42"/>
  <c r="D44"/>
  <c r="H40"/>
  <c r="F23"/>
  <c r="H24"/>
  <c r="F15"/>
  <c r="F16"/>
  <c r="H17"/>
  <c r="G34" i="4"/>
  <c r="H36"/>
  <c r="F39"/>
  <c r="C40"/>
  <c r="H42"/>
  <c r="H43"/>
  <c r="D16"/>
  <c r="F42"/>
  <c r="F18"/>
  <c r="E32"/>
  <c r="F36"/>
  <c r="F43"/>
  <c r="J18"/>
  <c r="I18"/>
  <c r="F16"/>
  <c r="J16"/>
  <c r="I16"/>
  <c r="B10"/>
  <c r="E7"/>
  <c r="C8"/>
  <c r="G28" i="5"/>
  <c r="H30"/>
  <c r="F33"/>
  <c r="C34"/>
  <c r="H36"/>
  <c r="H45"/>
  <c r="H43"/>
  <c r="H46"/>
  <c r="F14"/>
  <c r="F45"/>
  <c r="D17"/>
  <c r="F43"/>
  <c r="F46"/>
  <c r="H37"/>
  <c r="D14"/>
  <c r="F36"/>
  <c r="F17"/>
  <c r="E26"/>
  <c r="F30"/>
  <c r="F37"/>
  <c r="I17"/>
  <c r="H17"/>
  <c r="I14"/>
  <c r="H14"/>
  <c r="B11"/>
  <c r="E8"/>
  <c r="C9"/>
</calcChain>
</file>

<file path=xl/sharedStrings.xml><?xml version="1.0" encoding="utf-8"?>
<sst xmlns="http://schemas.openxmlformats.org/spreadsheetml/2006/main" count="259" uniqueCount="193">
  <si>
    <t xml:space="preserve">  This time line shows what happens to $10 million par value of the note over the 6-month period.</t>
    <phoneticPr fontId="1" type="noConversion"/>
  </si>
  <si>
    <t xml:space="preserve">  3. Sell the same future dollars of the bond:</t>
    <phoneticPr fontId="1" type="noConversion"/>
  </si>
  <si>
    <t xml:space="preserve">   </t>
    <phoneticPr fontId="1" type="noConversion"/>
  </si>
  <si>
    <t xml:space="preserve">  This is what we can sell the 9,643,705 par value of the bond for today.</t>
    <phoneticPr fontId="1" type="noConversion"/>
  </si>
  <si>
    <t xml:space="preserve">  &lt;-- This is an arbitrage: a positive cash flow on at least one day, and no days with negative cash flows.</t>
    <phoneticPr fontId="1" type="noConversion"/>
  </si>
  <si>
    <t>6 Months</t>
    <phoneticPr fontId="1" type="noConversion"/>
  </si>
  <si>
    <t xml:space="preserve">  &lt;--- If we did this trade we would throw away over $2.7 million.</t>
    <phoneticPr fontId="1" type="noConversion"/>
  </si>
  <si>
    <t>On Thursday, November 8, I tried to explain the ab trade in a less obfuscatory manner:</t>
    <phoneticPr fontId="1" type="noConversion"/>
  </si>
  <si>
    <t xml:space="preserve"> &lt;--  6 mos  --&gt;</t>
    <phoneticPr fontId="1" type="noConversion"/>
  </si>
  <si>
    <t xml:space="preserve">  &lt;-- This is exactly the same as in the base case.</t>
    <phoneticPr fontId="1" type="noConversion"/>
  </si>
  <si>
    <t>This is lower than in the base case, thanks to the wider spread:</t>
    <phoneticPr fontId="1" type="noConversion"/>
  </si>
  <si>
    <t>So if we do the same trade as in the base case, we end up losing money -- not an arbitrage.</t>
    <phoneticPr fontId="1" type="noConversion"/>
  </si>
  <si>
    <t xml:space="preserve">    Now in general, if we do an arb trade that produces a negative cash flow we could reverse it and make a positive cash flow.  Let's see if that works here.</t>
    <phoneticPr fontId="1" type="noConversion"/>
  </si>
  <si>
    <t>Rather than buying the note we'll sell the billion par:</t>
    <phoneticPr fontId="1" type="noConversion"/>
  </si>
  <si>
    <t>And rather than sell the bond we'll buy that par amount:</t>
    <phoneticPr fontId="1" type="noConversion"/>
  </si>
  <si>
    <t>So we can't take advantage of relative mispricing between these 2 securities because transactions costs are too high.</t>
    <phoneticPr fontId="1" type="noConversion"/>
  </si>
  <si>
    <t>In this situation we could say that there appears to be an arbitrage opportunity, but the transactions costs (or market frictions) preclude our ability to take advantage of it.</t>
    <phoneticPr fontId="1" type="noConversion"/>
  </si>
  <si>
    <t>Seeing this, we want to simultaneously sell $1 for 98.89 cents and buy $1 for 98.69 cents and pocket the difference.</t>
    <phoneticPr fontId="1" type="noConversion"/>
  </si>
  <si>
    <t xml:space="preserve">  2. Buy this par amount of the note:</t>
    <phoneticPr fontId="1" type="noConversion"/>
  </si>
  <si>
    <t>Buy this par amount of the note:</t>
    <phoneticPr fontId="1" type="noConversion"/>
  </si>
  <si>
    <t xml:space="preserve">   (We buy from dealers at their ask quotes.)</t>
    <phoneticPr fontId="1" type="noConversion"/>
  </si>
  <si>
    <t>Sell the bond at the dealers' bid quote:</t>
    <phoneticPr fontId="1" type="noConversion"/>
  </si>
  <si>
    <t xml:space="preserve"> in 6 months we have to cover our short position by giving cash to the buyer.</t>
    <phoneticPr fontId="1" type="noConversion"/>
  </si>
  <si>
    <t>Discussion:  Once we specify the arbitrary amount to buy, this pins down the cash flow we will receive in 6 months.</t>
    <phoneticPr fontId="1" type="noConversion"/>
  </si>
  <si>
    <t>That in turn, tells us how many of the rich security to sell -- so that we have 0 total cash flows in 6 months.</t>
    <phoneticPr fontId="1" type="noConversion"/>
  </si>
  <si>
    <t>In this extension of the class problem we look at the effect of higher transaction costs on arbitrage.</t>
    <phoneticPr fontId="1" type="noConversion"/>
  </si>
  <si>
    <t>I start by adding $10/32 to the bid-ask spreads -- keeping the midpoints of the spreads unchanged.</t>
    <phoneticPr fontId="1" type="noConversion"/>
  </si>
  <si>
    <t>(Up to this point, the problem is the same as in the base case.)</t>
    <phoneticPr fontId="1" type="noConversion"/>
  </si>
  <si>
    <t xml:space="preserve">  &lt;-- This is more expensive than in the base case thanks to the wider spread.</t>
    <phoneticPr fontId="1" type="noConversion"/>
  </si>
  <si>
    <t xml:space="preserve">  &lt;-- This is exactly the same as in the base case.</t>
    <phoneticPr fontId="1" type="noConversion"/>
  </si>
  <si>
    <t>I also construct the yield to maturity for each security in column J.  The continuously compounded yield to maturity is r such that: PV * exp(r*T) = FV.  For the 6-month scurities, T = .5</t>
    <phoneticPr fontId="1" type="noConversion"/>
  </si>
  <si>
    <t>Coupon rate</t>
    <phoneticPr fontId="1" type="noConversion"/>
  </si>
  <si>
    <t xml:space="preserve">  Based on the discount factors it appears that the note is trading cheap relative to the bond.  I can buy $1 in 6 omnths for 97.43 cents using the note and sell that $1 for 97.51 cents using the bond.</t>
    <phoneticPr fontId="1" type="noConversion"/>
  </si>
  <si>
    <t xml:space="preserve">  Based on the yields-to-maturity it appears that the note is trading cheap relative to the bond.  I can borrow for 5.04% by selling the bond and earn 5.20% by buying the note.</t>
    <phoneticPr fontId="1" type="noConversion"/>
  </si>
  <si>
    <t xml:space="preserve">        b) Implement your arb trade to see whether or not it is executable.</t>
    <phoneticPr fontId="1" type="noConversion"/>
  </si>
  <si>
    <t>The 14% May 15, 2020 bond:</t>
    <phoneticPr fontId="1" type="noConversion"/>
  </si>
  <si>
    <t>The 2.75% May 15, 2020 note:</t>
    <phoneticPr fontId="1" type="noConversion"/>
  </si>
  <si>
    <t xml:space="preserve">   1. Today is November 15, 2019.  You see the following information on your trading screen.</t>
    <phoneticPr fontId="1" type="noConversion"/>
  </si>
  <si>
    <t xml:space="preserve">        a) Based on this market information, does there appear to be a possible arbitrage?  If so, which security would you buy and which would you sell?  Explain.</t>
    <phoneticPr fontId="1" type="noConversion"/>
  </si>
  <si>
    <t xml:space="preserve">  Since I don’t know a priori which security is trading rich relative to the other, I use the midpoint of the bid-ask spread for this purpose.</t>
    <phoneticPr fontId="1" type="noConversion"/>
  </si>
  <si>
    <t>I construct each security's implied discount factor in column H.  Recall the 6-month discount factor in these cases is  what you pay for the 6-month security today divided by the cash flow in 6 months.</t>
    <phoneticPr fontId="1" type="noConversion"/>
  </si>
  <si>
    <t>You chose to work through another example of an arb trade involving 2 coupon-paying securities that mature in 6 months rather than look at replicating bonds with STRIPS so we will</t>
    <phoneticPr fontId="1" type="noConversion"/>
  </si>
  <si>
    <t xml:space="preserve">    only see problems like this one on Quiz 4.</t>
    <phoneticPr fontId="1" type="noConversion"/>
  </si>
  <si>
    <t>This next shaded section is what I have to do in order to structure a problem of this type:</t>
    <phoneticPr fontId="1" type="noConversion"/>
  </si>
  <si>
    <t>Here is what the problem would look like on a quiz:</t>
    <phoneticPr fontId="1" type="noConversion"/>
  </si>
  <si>
    <t xml:space="preserve"> in 6 months.</t>
  </si>
  <si>
    <t>100 par of the bond:</t>
  </si>
  <si>
    <t xml:space="preserve"> par value of bond today that will be worth 10,150,000 in 6 months.</t>
  </si>
  <si>
    <t xml:space="preserve">  correct.</t>
  </si>
  <si>
    <t xml:space="preserve">Sell </t>
  </si>
  <si>
    <t xml:space="preserve"> par of the bond:</t>
  </si>
  <si>
    <t>Sell Bond today:</t>
  </si>
  <si>
    <t>Buy Note today:</t>
  </si>
  <si>
    <t xml:space="preserve">  &lt;------&gt;</t>
  </si>
  <si>
    <t>Today</t>
  </si>
  <si>
    <t>Bond:</t>
  </si>
  <si>
    <t>14% coupon</t>
  </si>
  <si>
    <t>yield:</t>
  </si>
  <si>
    <t>in 6 months bond will be worth:</t>
  </si>
  <si>
    <t>Price:</t>
  </si>
  <si>
    <t>.14 matures in 6 months.</t>
  </si>
  <si>
    <t>ask:</t>
  </si>
  <si>
    <t>Note:</t>
  </si>
  <si>
    <t>2.75% in 6 months</t>
  </si>
  <si>
    <t>Is there arbitrage?</t>
  </si>
  <si>
    <t>Evaluate the discount factors of both securities:</t>
  </si>
  <si>
    <t>df</t>
  </si>
  <si>
    <t>It looks like there could be an arb -- the bond is trading relatively rich.</t>
  </si>
  <si>
    <t>Evaluate the yields-to-maturity on both securities</t>
  </si>
  <si>
    <t>ytm</t>
  </si>
  <si>
    <t>There could be an arb -- buy the security with higher yield.</t>
  </si>
  <si>
    <t>Present Value * exp(rT) = Future Value.</t>
  </si>
  <si>
    <t>Step 1. Arbitrarily specify a par amount to buy of the security trading cheap:</t>
  </si>
  <si>
    <t>Buy this par amount of thr note:</t>
  </si>
  <si>
    <t>Step 2.  Ascertain the value of my long postion at maturity (in 6 months):</t>
  </si>
  <si>
    <t>Time line on the long position in the note:</t>
  </si>
  <si>
    <t xml:space="preserve">   &lt;--------&gt;</t>
  </si>
  <si>
    <t>6 Months (T= .5)</t>
  </si>
  <si>
    <t>Step 3.  Sell the rich security so that the amount I have to come up with in 6 months equals the cash flow from the note.</t>
  </si>
  <si>
    <t>100 par of the bond in 6 months:</t>
  </si>
  <si>
    <t>So:</t>
  </si>
  <si>
    <t xml:space="preserve"> par value of bond today will grow to the 1,013,750,000 in 6 months.</t>
  </si>
  <si>
    <t>The principle of arbitrage is that 2 ``things'' that generate the same cash flows in the future must have the same value today.</t>
  </si>
  <si>
    <t>Much of finance entails implementing this concept.</t>
  </si>
  <si>
    <t>The beauty of arbitrage is that if we see 2 ``things'' that generate the same cash flows in the future trading at different prices, then we can make riskless profits.</t>
  </si>
  <si>
    <t xml:space="preserve">     Example: Eller MBA students during Christmas Season 1995.</t>
  </si>
  <si>
    <t>Bond: Life 6 mos. Coupon</t>
  </si>
  <si>
    <t>Bid:</t>
  </si>
  <si>
    <t>Ask:</t>
  </si>
  <si>
    <t xml:space="preserve">Note:  Life 6 mos. Coupon </t>
  </si>
  <si>
    <t>Time line for the Bond:</t>
  </si>
  <si>
    <t>Time (Yrs):</t>
  </si>
  <si>
    <t>Cash Flow:</t>
  </si>
  <si>
    <t>Step 1: Compare the yields-to-maturity on these 2 securities.  I don't know whether I'll be buying or selling -- use the spread midpoints.</t>
  </si>
  <si>
    <t>104.078 * exp(rT) = 105.25</t>
  </si>
  <si>
    <t>r is the cc ytm and T is the term = .5</t>
  </si>
  <si>
    <t>Double Check:</t>
  </si>
  <si>
    <t>Time line for Note:</t>
  </si>
  <si>
    <t>100.172 * exp(rT) = 101.5</t>
  </si>
  <si>
    <t xml:space="preserve">  cc ytm on the note.</t>
  </si>
  <si>
    <t>Suggests that there might be arbitrage:</t>
  </si>
  <si>
    <t>Check it out:  Buy the cheap security and sell the rich security:  Cheap &lt;==&gt; Higher yield</t>
  </si>
  <si>
    <t>Specify a starting market value (arbitrary): 10 million dollars of note</t>
  </si>
  <si>
    <t>Buy 10 million par value of the note:</t>
  </si>
  <si>
    <t xml:space="preserve">  dollar cost today of $10 million par of the 3% note.</t>
  </si>
  <si>
    <t>Cash Flows:</t>
  </si>
  <si>
    <t>Sell enough bond so that in 6 months my cash outflow exactly equals the inflow on my note.</t>
  </si>
  <si>
    <t xml:space="preserve">   my short position is:</t>
  </si>
  <si>
    <t>Total Cash Flows:</t>
  </si>
  <si>
    <t xml:space="preserve">   These 2 securities in theory should have the same yield -- they both involve getting one cash flow in exactly 6 months from the US Treasury.</t>
    <phoneticPr fontId="1" type="noConversion"/>
  </si>
  <si>
    <t>discount factor:</t>
  </si>
  <si>
    <t>Idea of arbitrage is to buy low and simultaneously sell high.</t>
  </si>
  <si>
    <t xml:space="preserve"> Low: note price of $1 in 6 months is:</t>
  </si>
  <si>
    <t xml:space="preserve"> Sell: bond price of $1 in 6 months is:</t>
  </si>
  <si>
    <t>Actual transactions to achieve this.</t>
  </si>
  <si>
    <t xml:space="preserve">  1. Specify an arbitrary $ amount:</t>
  </si>
  <si>
    <t xml:space="preserve">         Want the number of bonds (par value) that will be worth </t>
  </si>
  <si>
    <t>Related exercises.</t>
    <phoneticPr fontId="1" type="noConversion"/>
  </si>
  <si>
    <t>Today is May 15, 2020.  We see the following 2 securities in the market:</t>
    <phoneticPr fontId="1" type="noConversion"/>
  </si>
  <si>
    <t>5. We build a timeline showing the cash flows on this position--- $10 million  (par value) long position in the note.</t>
    <phoneticPr fontId="1" type="noConversion"/>
  </si>
  <si>
    <t>6. We want to have a position in the bond that has the same dollar cash flow --of opposite sign -- in 6 months as the note.</t>
    <phoneticPr fontId="1" type="noConversion"/>
  </si>
  <si>
    <t xml:space="preserve">    We obtain this by dividing the terminal value of our note position by the terminal value of the bond (percentage terms).</t>
    <phoneticPr fontId="1" type="noConversion"/>
  </si>
  <si>
    <t>7. We sell this many bonds at the bid quote of the bond -- in Cell D41.</t>
    <phoneticPr fontId="1" type="noConversion"/>
  </si>
  <si>
    <t xml:space="preserve">  We buy the notes at Time 0 (cash outflow) and the notes mature at Time .5 which creates a cash inflow.</t>
    <phoneticPr fontId="1" type="noConversion"/>
  </si>
  <si>
    <t>1. We compute the yield to maturity on both securities using the mid-point of the bid-ask spread.</t>
    <phoneticPr fontId="1" type="noConversion"/>
  </si>
  <si>
    <t>2. If they are not the same, we explore whether we can make arbitrage by buying the security that is trading relatively cheap and short-selling the security</t>
    <phoneticPr fontId="1" type="noConversion"/>
  </si>
  <si>
    <t xml:space="preserve">    that is trading relatively rich.  Notice that we do not have an absolute price metric in mind -- we are talking about relative prices.</t>
    <phoneticPr fontId="1" type="noConversion"/>
  </si>
  <si>
    <t>3. The security with the higher yield is relatively cheaper.</t>
    <phoneticPr fontId="1" type="noConversion"/>
  </si>
  <si>
    <t>4. Choose an arbitrary value to anchor the analysis -- example 10 million par value of the note.</t>
    <phoneticPr fontId="1" type="noConversion"/>
  </si>
  <si>
    <t xml:space="preserve">   However, the yield to maturity on the bond is 40 basis points less than the note's yield to maturity.</t>
    <phoneticPr fontId="1" type="noConversion"/>
  </si>
  <si>
    <t xml:space="preserve"> (Another reason we buy the high yield and sell the low yield is to capture the spread between the 2 yields.)</t>
    <phoneticPr fontId="1" type="noConversion"/>
  </si>
  <si>
    <t xml:space="preserve"> (We can put any number here -- it simply anchors the analysis.)</t>
    <phoneticPr fontId="1" type="noConversion"/>
  </si>
  <si>
    <t xml:space="preserve"> -- Verified.</t>
    <phoneticPr fontId="1" type="noConversion"/>
  </si>
  <si>
    <t xml:space="preserve">  If I sell this much par value of the bond I receive:</t>
    <phoneticPr fontId="1" type="noConversion"/>
  </si>
  <si>
    <t>Buy Note</t>
    <phoneticPr fontId="1" type="noConversion"/>
  </si>
  <si>
    <t>Short Sell Bond:</t>
    <phoneticPr fontId="1" type="noConversion"/>
  </si>
  <si>
    <t>Summarizing:</t>
    <phoneticPr fontId="1" type="noConversion"/>
  </si>
  <si>
    <t>Working through Problem 7 on the Problem Set to Prepare for Quiz 4.</t>
  </si>
  <si>
    <t>Step 1:  Compute the yields to maturity on these 2 instruments using the mid-points of the bid-ask spreads:</t>
    <phoneticPr fontId="1" type="noConversion"/>
  </si>
  <si>
    <t>Note:</t>
    <phoneticPr fontId="1" type="noConversion"/>
  </si>
  <si>
    <t>Result: We don't know whether we can make arbitrage profits, but it looks as though the note is trading rich relative to the bill.</t>
    <phoneticPr fontId="1" type="noConversion"/>
  </si>
  <si>
    <t>Ask:</t>
    <phoneticPr fontId="1" type="noConversion"/>
  </si>
  <si>
    <t>Bid:</t>
    <phoneticPr fontId="1" type="noConversion"/>
  </si>
  <si>
    <t>1.  8.75% November 15, 2020 Bond.</t>
    <phoneticPr fontId="1" type="noConversion"/>
  </si>
  <si>
    <t>2.  2.75% November 15, 2020 Note.</t>
    <phoneticPr fontId="1" type="noConversion"/>
  </si>
  <si>
    <t>Is there an arbitrage opportunity in this market?</t>
    <phoneticPr fontId="1" type="noConversion"/>
  </si>
  <si>
    <t>Discussion:</t>
    <phoneticPr fontId="1" type="noConversion"/>
  </si>
  <si>
    <t>Superficially the bond and the note do not appear to be the same thing.  However, we can replicate one of them by taking a position in the other one.</t>
    <phoneticPr fontId="1" type="noConversion"/>
  </si>
  <si>
    <t xml:space="preserve">  In the arbitrage example, we essentially replicated the note with the bond.  In particular, </t>
    <phoneticPr fontId="1" type="noConversion"/>
  </si>
  <si>
    <t xml:space="preserve">  par units of the bond are equivalent to one par unit of the note.</t>
    <phoneticPr fontId="1" type="noConversion"/>
  </si>
  <si>
    <t xml:space="preserve">    This means that the note's price --for there to be no arbitrage --</t>
    <phoneticPr fontId="1" type="noConversion"/>
  </si>
  <si>
    <t xml:space="preserve">    should be .9644 * the bond price.</t>
    <phoneticPr fontId="1" type="noConversion"/>
  </si>
  <si>
    <t xml:space="preserve">   This does not have to hold exactly -- because of transactions</t>
    <phoneticPr fontId="1" type="noConversion"/>
  </si>
  <si>
    <t xml:space="preserve">    costs.  In this example the note's price is:</t>
    <phoneticPr fontId="1" type="noConversion"/>
  </si>
  <si>
    <t xml:space="preserve"> * bond price.</t>
    <phoneticPr fontId="1" type="noConversion"/>
  </si>
  <si>
    <t xml:space="preserve">   -- again confirming that the note is under-priced, relative to the bond.</t>
    <phoneticPr fontId="1" type="noConversion"/>
  </si>
  <si>
    <t xml:space="preserve">  --Note that we buy the notes at the dealers' ask quote.</t>
    <phoneticPr fontId="1" type="noConversion"/>
  </si>
  <si>
    <t xml:space="preserve">    This is what we did in Cell E39, (and verified in Cell H40).</t>
    <phoneticPr fontId="1" type="noConversion"/>
  </si>
  <si>
    <t>8. Now we have a time line for buying the note,  holding it for 6 months, and receiving its terminal cash flow when it matures. (Row 34)</t>
    <phoneticPr fontId="1" type="noConversion"/>
  </si>
  <si>
    <t xml:space="preserve">    Similarly Row 42 is the time line for short-selling the bond, holding the position until it matures,  and paying the terminal value upon maturity.</t>
    <phoneticPr fontId="1" type="noConversion"/>
  </si>
  <si>
    <t>9. And Row 44 contains our total cash flows on the trade.</t>
    <phoneticPr fontId="1" type="noConversion"/>
  </si>
  <si>
    <t xml:space="preserve">   This is an arbitrage trade -- it generates positive cash flows at the outset, and liquidates itself in 6 months.</t>
    <phoneticPr fontId="1" type="noConversion"/>
  </si>
  <si>
    <t xml:space="preserve">   It involves no risk and no capital, and throws off positive cash.</t>
    <phoneticPr fontId="1" type="noConversion"/>
  </si>
  <si>
    <t>To replicate we want the bond (short position) to be worth 101,375,000 in 6 months.  This means we want to sell:</t>
    <phoneticPr fontId="1" type="noConversion"/>
  </si>
  <si>
    <t xml:space="preserve">  par value of the bond</t>
    <phoneticPr fontId="1" type="noConversion"/>
  </si>
  <si>
    <t xml:space="preserve">  and our bond timeline is:</t>
    <phoneticPr fontId="1" type="noConversion"/>
  </si>
  <si>
    <t xml:space="preserve">        Total Cash Flows:</t>
    <phoneticPr fontId="1" type="noConversion"/>
  </si>
  <si>
    <t>This looks like arbitrage.</t>
    <phoneticPr fontId="1" type="noConversion"/>
  </si>
  <si>
    <t>(Taking advantage of segmented markets in Beanie Baby dolls between the US and UK.)</t>
    <phoneticPr fontId="1" type="noConversion"/>
  </si>
  <si>
    <t>So let's see what would happen if we buy $10 million of the note, and sell a replicating portfolio of the bill.</t>
    <phoneticPr fontId="1" type="noConversion"/>
  </si>
  <si>
    <t>Buy 10 million par value of the note:</t>
    <phoneticPr fontId="1" type="noConversion"/>
  </si>
  <si>
    <t>Time line</t>
    <phoneticPr fontId="1" type="noConversion"/>
  </si>
  <si>
    <t>Time (Yrs):</t>
    <phoneticPr fontId="1" type="noConversion"/>
  </si>
  <si>
    <t>Cash Flow:</t>
    <phoneticPr fontId="1" type="noConversion"/>
  </si>
  <si>
    <t>We would short the bill -- how many should we short so that the required outflow in 6 months equals the maturing value of the note?</t>
    <phoneticPr fontId="1" type="noConversion"/>
  </si>
  <si>
    <t>Because the bill is a 0-coupon security, we simply match the par value of the bill to the Time 0.5 (maturing) value of the note.</t>
    <phoneticPr fontId="1" type="noConversion"/>
  </si>
  <si>
    <t>This means we would sell:</t>
    <phoneticPr fontId="1" type="noConversion"/>
  </si>
  <si>
    <t xml:space="preserve"> par value of the bill (to replicate the note).</t>
    <phoneticPr fontId="1" type="noConversion"/>
  </si>
  <si>
    <t>Total Cash Flows:</t>
    <phoneticPr fontId="1" type="noConversion"/>
  </si>
  <si>
    <t>Bond:</t>
    <phoneticPr fontId="1" type="noConversion"/>
  </si>
  <si>
    <t>Compute the yield on both using bid-ask spread midpoints:</t>
    <phoneticPr fontId="1" type="noConversion"/>
  </si>
  <si>
    <t xml:space="preserve">     &lt;------&gt;</t>
    <phoneticPr fontId="1" type="noConversion"/>
  </si>
  <si>
    <t>ytm:</t>
    <phoneticPr fontId="1" type="noConversion"/>
  </si>
  <si>
    <t>If there is an arbitrage, it would entail going long in the note and short the bond.</t>
    <phoneticPr fontId="1" type="noConversion"/>
  </si>
  <si>
    <t>Let's start by building a long position in 100 million par of the note.</t>
    <phoneticPr fontId="1" type="noConversion"/>
  </si>
  <si>
    <t>Long position cash flows:</t>
    <phoneticPr fontId="1" type="noConversion"/>
  </si>
  <si>
    <t>--I want to know how many of the bonds should I sell so that in 6 months covering my short position reauires the same cash flow as my long position will generate.</t>
    <phoneticPr fontId="1" type="noConversion"/>
  </si>
  <si>
    <t xml:space="preserve"> if I sell this many bonds (par value) then in 6 months the amount I will have to pay to close</t>
    <phoneticPr fontId="1" type="noConversion"/>
  </si>
  <si>
    <t xml:space="preserve"> today.</t>
    <phoneticPr fontId="1" type="noConversion"/>
  </si>
  <si>
    <t>Today is August 15, 2020.  We see the following 2 securities in the market:</t>
    <phoneticPr fontId="1" type="noConversion"/>
  </si>
  <si>
    <t>1.  February 15, 2021 Bill</t>
    <phoneticPr fontId="1" type="noConversion"/>
  </si>
  <si>
    <t>2.  5.75% February 15, 2021 Note.</t>
    <phoneticPr fontId="1" type="noConversion"/>
  </si>
  <si>
    <t>Bill:</t>
    <phoneticPr fontId="1" type="noConversion"/>
  </si>
</sst>
</file>

<file path=xl/styles.xml><?xml version="1.0" encoding="utf-8"?>
<styleSheet xmlns="http://schemas.openxmlformats.org/spreadsheetml/2006/main">
  <numFmts count="7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6" formatCode="#,##0"/>
    <numFmt numFmtId="167" formatCode="#,##0"/>
  </numFmts>
  <fonts count="4">
    <font>
      <sz val="11"/>
      <color theme="1"/>
      <name val="Calibri"/>
      <family val="2"/>
      <scheme val="minor"/>
    </font>
    <font>
      <sz val="8"/>
      <name val="Verdana"/>
    </font>
    <font>
      <b/>
      <sz val="11"/>
      <color indexed="8"/>
      <name val="Calibri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0" fillId="0" borderId="0" xfId="0" applyNumberFormat="1"/>
    <xf numFmtId="3" fontId="0" fillId="0" borderId="0" xfId="0" applyNumberFormat="1"/>
    <xf numFmtId="0" fontId="2" fillId="0" borderId="0" xfId="0" quotePrefix="1" applyFont="1"/>
    <xf numFmtId="4" fontId="2" fillId="0" borderId="0" xfId="0" applyNumberFormat="1" applyFont="1"/>
    <xf numFmtId="0" fontId="2" fillId="0" borderId="0" xfId="0" applyFont="1"/>
    <xf numFmtId="3" fontId="0" fillId="0" borderId="0" xfId="0" applyNumberFormat="1"/>
    <xf numFmtId="3" fontId="0" fillId="0" borderId="0" xfId="0" applyNumberFormat="1"/>
    <xf numFmtId="3" fontId="3" fillId="0" borderId="0" xfId="0" applyNumberFormat="1" applyFont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3" fontId="2" fillId="0" borderId="0" xfId="0" applyNumberFormat="1" applyFont="1"/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9" Type="http://schemas.openxmlformats.org/officeDocument/2006/relationships/calcChain" Target="calcChain.xml"/><Relationship Id="rId3" Type="http://schemas.openxmlformats.org/officeDocument/2006/relationships/worksheet" Target="worksheets/sheet3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:a="http://schemas.openxmlformats.org/drawingml/2006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W128"/>
  <sheetViews>
    <sheetView tabSelected="1" topLeftCell="A67" zoomScale="160" zoomScaleNormal="160" zoomScalePageLayoutView="160" workbookViewId="0">
      <selection activeCell="F82" sqref="F82"/>
    </sheetView>
  </sheetViews>
  <sheetFormatPr baseColWidth="10" defaultColWidth="8.83203125" defaultRowHeight="14"/>
  <cols>
    <col min="4" max="4" width="11.5" customWidth="1"/>
    <col min="5" max="5" width="12.6640625" customWidth="1"/>
    <col min="6" max="6" width="12.33203125" customWidth="1"/>
    <col min="7" max="7" width="9.6640625" bestFit="1" customWidth="1"/>
    <col min="8" max="8" width="10" customWidth="1"/>
    <col min="9" max="9" width="11.1640625" customWidth="1"/>
    <col min="11" max="11" width="11.6640625" customWidth="1"/>
    <col min="17" max="17" width="10" bestFit="1" customWidth="1"/>
    <col min="19" max="19" width="10.83203125" style="7" customWidth="1"/>
    <col min="21" max="21" width="11.33203125" customWidth="1"/>
    <col min="23" max="23" width="11.83203125" customWidth="1"/>
  </cols>
  <sheetData>
    <row r="1" spans="1:11">
      <c r="A1" t="s">
        <v>137</v>
      </c>
    </row>
    <row r="2" spans="1:11">
      <c r="A2" t="s">
        <v>82</v>
      </c>
    </row>
    <row r="3" spans="1:11">
      <c r="A3" t="s">
        <v>84</v>
      </c>
    </row>
    <row r="4" spans="1:11">
      <c r="A4" t="s">
        <v>85</v>
      </c>
      <c r="H4" t="s">
        <v>168</v>
      </c>
    </row>
    <row r="5" spans="1:11">
      <c r="A5" t="s">
        <v>83</v>
      </c>
    </row>
    <row r="7" spans="1:11">
      <c r="A7" t="s">
        <v>86</v>
      </c>
      <c r="D7">
        <v>0.105</v>
      </c>
      <c r="E7" t="s">
        <v>87</v>
      </c>
      <c r="F7">
        <v>104.0625</v>
      </c>
      <c r="G7" t="s">
        <v>88</v>
      </c>
      <c r="H7">
        <v>104.09375</v>
      </c>
    </row>
    <row r="8" spans="1:11">
      <c r="A8" t="s">
        <v>89</v>
      </c>
      <c r="D8">
        <v>0.03</v>
      </c>
      <c r="F8">
        <v>100.15625</v>
      </c>
      <c r="H8">
        <v>100.1875</v>
      </c>
    </row>
    <row r="9" spans="1:11">
      <c r="B9" t="s">
        <v>93</v>
      </c>
    </row>
    <row r="10" spans="1:11">
      <c r="C10" t="s">
        <v>90</v>
      </c>
    </row>
    <row r="11" spans="1:11">
      <c r="E11" t="s">
        <v>91</v>
      </c>
      <c r="F11">
        <v>0</v>
      </c>
      <c r="G11">
        <v>0.5</v>
      </c>
    </row>
    <row r="12" spans="1:11">
      <c r="E12" t="s">
        <v>92</v>
      </c>
      <c r="F12">
        <f>0.5*(F7+H7)</f>
        <v>104.078125</v>
      </c>
      <c r="G12">
        <f>100*(1+0.5*D7)</f>
        <v>105.25</v>
      </c>
      <c r="I12" t="s">
        <v>110</v>
      </c>
      <c r="K12">
        <f>F12/G12</f>
        <v>0.98886579572446553</v>
      </c>
    </row>
    <row r="14" spans="1:11">
      <c r="F14" t="s">
        <v>94</v>
      </c>
      <c r="I14" t="s">
        <v>95</v>
      </c>
    </row>
    <row r="15" spans="1:11">
      <c r="F15">
        <f>G12/F12</f>
        <v>1.0112595706350398</v>
      </c>
    </row>
    <row r="16" spans="1:11">
      <c r="F16">
        <f>LN(F15)/G11</f>
        <v>2.2393307017966473E-2</v>
      </c>
    </row>
    <row r="17" spans="1:23">
      <c r="F17" t="s">
        <v>96</v>
      </c>
      <c r="H17">
        <f>F12*EXP(F16*G11)</f>
        <v>105.25</v>
      </c>
    </row>
    <row r="18" spans="1:23">
      <c r="C18" t="s">
        <v>97</v>
      </c>
    </row>
    <row r="19" spans="1:23">
      <c r="E19" t="s">
        <v>91</v>
      </c>
      <c r="F19">
        <v>0</v>
      </c>
      <c r="G19">
        <v>0.5</v>
      </c>
    </row>
    <row r="20" spans="1:23">
      <c r="E20" t="s">
        <v>92</v>
      </c>
      <c r="F20">
        <f>0.5*(F8+H8)</f>
        <v>100.171875</v>
      </c>
      <c r="G20">
        <f>100*(1+0.5*D8)</f>
        <v>101.49999999999999</v>
      </c>
      <c r="I20" t="s">
        <v>110</v>
      </c>
      <c r="K20">
        <f>F20/G20</f>
        <v>0.98691502463054204</v>
      </c>
    </row>
    <row r="22" spans="1:23">
      <c r="F22" t="s">
        <v>98</v>
      </c>
      <c r="Q22" s="7"/>
    </row>
    <row r="23" spans="1:23">
      <c r="F23">
        <f>LN(G20/F20)/G19</f>
        <v>2.6342675708512904E-2</v>
      </c>
      <c r="G23" t="s">
        <v>99</v>
      </c>
      <c r="Q23" s="7"/>
    </row>
    <row r="24" spans="1:23">
      <c r="F24" t="s">
        <v>96</v>
      </c>
      <c r="H24">
        <f>F20*EXP(F23*G19)</f>
        <v>101.49999999999999</v>
      </c>
    </row>
    <row r="26" spans="1:23">
      <c r="A26" t="s">
        <v>100</v>
      </c>
    </row>
    <row r="27" spans="1:23">
      <c r="A27" t="s">
        <v>109</v>
      </c>
      <c r="U27" s="7"/>
    </row>
    <row r="28" spans="1:23">
      <c r="A28" t="s">
        <v>129</v>
      </c>
    </row>
    <row r="29" spans="1:23">
      <c r="T29" s="7"/>
      <c r="W29" s="7"/>
    </row>
    <row r="30" spans="1:23">
      <c r="A30" t="s">
        <v>101</v>
      </c>
      <c r="H30" t="s">
        <v>130</v>
      </c>
    </row>
    <row r="31" spans="1:23">
      <c r="A31" t="s">
        <v>102</v>
      </c>
      <c r="H31">
        <v>10000000</v>
      </c>
      <c r="I31" t="s">
        <v>131</v>
      </c>
      <c r="U31" s="7"/>
      <c r="W31" s="7"/>
    </row>
    <row r="32" spans="1:23">
      <c r="B32" t="s">
        <v>103</v>
      </c>
      <c r="F32" s="2">
        <f>H8/100*H31</f>
        <v>10018750</v>
      </c>
      <c r="G32" t="s">
        <v>104</v>
      </c>
      <c r="U32" s="7"/>
      <c r="W32" s="7"/>
    </row>
    <row r="33" spans="2:23">
      <c r="B33" t="s">
        <v>105</v>
      </c>
      <c r="D33">
        <v>0</v>
      </c>
      <c r="E33">
        <v>0.5</v>
      </c>
      <c r="U33" s="8"/>
      <c r="W33" s="7"/>
    </row>
    <row r="34" spans="2:23">
      <c r="B34" t="s">
        <v>134</v>
      </c>
      <c r="D34" s="2">
        <f>-F32</f>
        <v>-10018750</v>
      </c>
      <c r="E34" s="2">
        <f>H31*(1+0.5*D8)</f>
        <v>10149999.999999998</v>
      </c>
      <c r="F34" t="s">
        <v>123</v>
      </c>
    </row>
    <row r="35" spans="2:23">
      <c r="F35" t="s">
        <v>156</v>
      </c>
    </row>
    <row r="37" spans="2:23">
      <c r="B37" t="s">
        <v>106</v>
      </c>
    </row>
    <row r="38" spans="2:23">
      <c r="B38" s="3" t="s">
        <v>186</v>
      </c>
    </row>
    <row r="39" spans="2:23">
      <c r="E39" s="4">
        <f>E34/(G12/100)</f>
        <v>9643705.4631828964</v>
      </c>
      <c r="F39" s="5" t="s">
        <v>187</v>
      </c>
    </row>
    <row r="40" spans="2:23">
      <c r="F40" s="5" t="s">
        <v>107</v>
      </c>
      <c r="H40" s="5">
        <f>E39*G12/100</f>
        <v>10149999.999999998</v>
      </c>
      <c r="I40" t="s">
        <v>132</v>
      </c>
    </row>
    <row r="41" spans="2:23">
      <c r="D41" t="s">
        <v>133</v>
      </c>
      <c r="H41">
        <f>E39*F7/100</f>
        <v>10035480.997624701</v>
      </c>
      <c r="I41" t="s">
        <v>188</v>
      </c>
    </row>
    <row r="42" spans="2:23">
      <c r="B42" t="s">
        <v>135</v>
      </c>
      <c r="D42" s="2">
        <f>H41</f>
        <v>10035480.997624701</v>
      </c>
      <c r="E42" s="2">
        <f>-E39*G12/100</f>
        <v>-10149999.999999998</v>
      </c>
    </row>
    <row r="44" spans="2:23">
      <c r="B44" t="s">
        <v>108</v>
      </c>
      <c r="D44" s="1">
        <f>D34+D42</f>
        <v>16730.997624700889</v>
      </c>
      <c r="E44" s="1">
        <f>E34+E42</f>
        <v>0</v>
      </c>
    </row>
    <row r="46" spans="2:23">
      <c r="B46" t="s">
        <v>136</v>
      </c>
    </row>
    <row r="47" spans="2:23">
      <c r="C47" t="s">
        <v>124</v>
      </c>
    </row>
    <row r="48" spans="2:23">
      <c r="C48" t="s">
        <v>125</v>
      </c>
    </row>
    <row r="49" spans="2:3">
      <c r="C49" t="s">
        <v>126</v>
      </c>
    </row>
    <row r="50" spans="2:3">
      <c r="C50" t="s">
        <v>127</v>
      </c>
    </row>
    <row r="51" spans="2:3">
      <c r="C51" t="s">
        <v>128</v>
      </c>
    </row>
    <row r="52" spans="2:3">
      <c r="C52" t="s">
        <v>119</v>
      </c>
    </row>
    <row r="53" spans="2:3">
      <c r="C53" t="s">
        <v>120</v>
      </c>
    </row>
    <row r="54" spans="2:3">
      <c r="C54" t="s">
        <v>121</v>
      </c>
    </row>
    <row r="55" spans="2:3">
      <c r="C55" t="s">
        <v>157</v>
      </c>
    </row>
    <row r="56" spans="2:3">
      <c r="C56" t="s">
        <v>122</v>
      </c>
    </row>
    <row r="57" spans="2:3">
      <c r="C57" t="s">
        <v>158</v>
      </c>
    </row>
    <row r="58" spans="2:3">
      <c r="C58" t="s">
        <v>159</v>
      </c>
    </row>
    <row r="59" spans="2:3">
      <c r="C59" t="s">
        <v>160</v>
      </c>
    </row>
    <row r="60" spans="2:3">
      <c r="C60" t="s">
        <v>161</v>
      </c>
    </row>
    <row r="61" spans="2:3">
      <c r="C61" t="s">
        <v>162</v>
      </c>
    </row>
    <row r="63" spans="2:3">
      <c r="B63" t="s">
        <v>146</v>
      </c>
    </row>
    <row r="64" spans="2:3">
      <c r="C64" t="s">
        <v>147</v>
      </c>
    </row>
    <row r="65" spans="1:16">
      <c r="C65" t="s">
        <v>148</v>
      </c>
      <c r="J65">
        <f>G20/G12</f>
        <v>0.96437054631828967</v>
      </c>
      <c r="K65" t="s">
        <v>149</v>
      </c>
    </row>
    <row r="66" spans="1:16">
      <c r="K66" t="s">
        <v>150</v>
      </c>
    </row>
    <row r="67" spans="1:16">
      <c r="K67" t="s">
        <v>151</v>
      </c>
    </row>
    <row r="68" spans="1:16">
      <c r="K68" t="s">
        <v>152</v>
      </c>
    </row>
    <row r="69" spans="1:16">
      <c r="K69" t="s">
        <v>153</v>
      </c>
      <c r="O69">
        <f>F8/H7</f>
        <v>0.96217352146502555</v>
      </c>
      <c r="P69" t="s">
        <v>154</v>
      </c>
    </row>
    <row r="70" spans="1:16">
      <c r="K70" t="s">
        <v>155</v>
      </c>
    </row>
    <row r="71" spans="1:16">
      <c r="A71" t="s">
        <v>7</v>
      </c>
    </row>
    <row r="73" spans="1:16">
      <c r="A73" t="s">
        <v>111</v>
      </c>
      <c r="G73" s="7"/>
    </row>
    <row r="74" spans="1:16">
      <c r="A74" t="s">
        <v>112</v>
      </c>
      <c r="E74">
        <f>K20</f>
        <v>0.98691502463054204</v>
      </c>
      <c r="G74" s="7"/>
    </row>
    <row r="75" spans="1:16">
      <c r="A75" t="s">
        <v>113</v>
      </c>
      <c r="E75">
        <f>K12</f>
        <v>0.98886579572446553</v>
      </c>
      <c r="G75" s="7"/>
    </row>
    <row r="76" spans="1:16">
      <c r="B76" t="s">
        <v>17</v>
      </c>
      <c r="G76" s="7"/>
    </row>
    <row r="77" spans="1:16">
      <c r="G77" s="7"/>
    </row>
    <row r="78" spans="1:16">
      <c r="A78" t="s">
        <v>114</v>
      </c>
      <c r="G78" s="7"/>
    </row>
    <row r="79" spans="1:16">
      <c r="A79" t="s">
        <v>115</v>
      </c>
      <c r="E79" s="7">
        <v>10000000</v>
      </c>
      <c r="G79" s="7"/>
    </row>
    <row r="80" spans="1:16">
      <c r="A80" t="s">
        <v>18</v>
      </c>
      <c r="E80" s="7">
        <f>E79*H8/100</f>
        <v>10018750</v>
      </c>
      <c r="F80" t="s">
        <v>8</v>
      </c>
      <c r="G80" s="7">
        <f>E79*G20/100</f>
        <v>10149999.999999998</v>
      </c>
      <c r="H80" t="s">
        <v>0</v>
      </c>
    </row>
    <row r="81" spans="1:19">
      <c r="A81" t="s">
        <v>1</v>
      </c>
      <c r="G81" s="7"/>
    </row>
    <row r="82" spans="1:19">
      <c r="A82" t="s">
        <v>116</v>
      </c>
      <c r="F82" s="7">
        <f>G80</f>
        <v>10149999.999999998</v>
      </c>
      <c r="G82" t="s">
        <v>45</v>
      </c>
      <c r="R82" s="7"/>
      <c r="S82"/>
    </row>
    <row r="83" spans="1:19">
      <c r="B83" t="s">
        <v>46</v>
      </c>
      <c r="D83">
        <f>G12</f>
        <v>105.25</v>
      </c>
      <c r="G83" s="7">
        <f>F82/(D83/100)</f>
        <v>9643705.4631828964</v>
      </c>
      <c r="H83" t="s">
        <v>47</v>
      </c>
    </row>
    <row r="84" spans="1:19">
      <c r="G84" s="7" t="s">
        <v>96</v>
      </c>
      <c r="I84" s="7">
        <f>G83*D83/100</f>
        <v>10149999.999999998</v>
      </c>
      <c r="J84" t="s">
        <v>48</v>
      </c>
    </row>
    <row r="85" spans="1:19">
      <c r="G85" s="7"/>
    </row>
    <row r="86" spans="1:19">
      <c r="G86" s="7" t="s">
        <v>49</v>
      </c>
      <c r="H86" s="7">
        <f>G83</f>
        <v>9643705.4631828964</v>
      </c>
      <c r="I86" t="s">
        <v>50</v>
      </c>
      <c r="K86" s="7">
        <f>H86*F7/100</f>
        <v>10035480.997624701</v>
      </c>
      <c r="L86" t="s">
        <v>3</v>
      </c>
    </row>
    <row r="87" spans="1:19">
      <c r="G87" s="7"/>
      <c r="I87" s="23" t="s">
        <v>54</v>
      </c>
      <c r="K87" s="23" t="s">
        <v>5</v>
      </c>
    </row>
    <row r="88" spans="1:19">
      <c r="G88" s="7" t="s">
        <v>51</v>
      </c>
      <c r="I88" s="7">
        <f>K86</f>
        <v>10035480.997624701</v>
      </c>
      <c r="J88" t="s">
        <v>53</v>
      </c>
      <c r="K88" s="7">
        <f>-I84</f>
        <v>-10149999.999999998</v>
      </c>
      <c r="L88" t="s">
        <v>2</v>
      </c>
    </row>
    <row r="89" spans="1:19">
      <c r="G89" s="7" t="s">
        <v>52</v>
      </c>
      <c r="I89" s="7">
        <f>-E80</f>
        <v>-10018750</v>
      </c>
      <c r="J89" t="s">
        <v>53</v>
      </c>
      <c r="K89" s="7">
        <f>G80</f>
        <v>10149999.999999998</v>
      </c>
    </row>
    <row r="90" spans="1:19">
      <c r="G90" s="7"/>
      <c r="I90" s="8">
        <f>I88+I89</f>
        <v>16730.997624700889</v>
      </c>
      <c r="K90" s="7">
        <f>K88+K89</f>
        <v>0</v>
      </c>
      <c r="L90" t="s">
        <v>4</v>
      </c>
    </row>
    <row r="116" spans="1:8">
      <c r="A116" t="s">
        <v>117</v>
      </c>
    </row>
    <row r="117" spans="1:8">
      <c r="B117" t="s">
        <v>189</v>
      </c>
    </row>
    <row r="118" spans="1:8">
      <c r="B118" t="s">
        <v>190</v>
      </c>
      <c r="E118" t="s">
        <v>142</v>
      </c>
      <c r="F118">
        <v>96.9375</v>
      </c>
      <c r="G118" t="s">
        <v>141</v>
      </c>
      <c r="H118">
        <v>96.96875</v>
      </c>
    </row>
    <row r="119" spans="1:8">
      <c r="B119" t="s">
        <v>191</v>
      </c>
      <c r="F119">
        <v>99.6875</v>
      </c>
      <c r="H119">
        <v>99.71875</v>
      </c>
    </row>
    <row r="121" spans="1:8">
      <c r="B121" t="s">
        <v>145</v>
      </c>
    </row>
    <row r="124" spans="1:8">
      <c r="B124" t="s">
        <v>118</v>
      </c>
    </row>
    <row r="125" spans="1:8">
      <c r="B125" t="s">
        <v>143</v>
      </c>
      <c r="E125" t="s">
        <v>142</v>
      </c>
      <c r="F125">
        <v>101.75</v>
      </c>
      <c r="G125" t="s">
        <v>141</v>
      </c>
      <c r="H125">
        <v>101.78125</v>
      </c>
    </row>
    <row r="126" spans="1:8">
      <c r="B126" t="s">
        <v>144</v>
      </c>
      <c r="F126">
        <v>98.71875</v>
      </c>
      <c r="H126">
        <v>98.78125</v>
      </c>
    </row>
    <row r="128" spans="1:8">
      <c r="B128" t="s">
        <v>145</v>
      </c>
    </row>
  </sheetData>
  <phoneticPr fontId="1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L46"/>
  <sheetViews>
    <sheetView zoomScale="140" zoomScaleNormal="140" zoomScalePageLayoutView="140" workbookViewId="0">
      <selection activeCell="B48" sqref="B48"/>
    </sheetView>
  </sheetViews>
  <sheetFormatPr baseColWidth="10" defaultColWidth="8.83203125" defaultRowHeight="14"/>
  <cols>
    <col min="3" max="3" width="12.1640625" bestFit="1" customWidth="1"/>
    <col min="4" max="4" width="12" customWidth="1"/>
    <col min="5" max="5" width="11.83203125" customWidth="1"/>
    <col min="6" max="6" width="13.6640625" customWidth="1"/>
    <col min="7" max="7" width="13" customWidth="1"/>
    <col min="8" max="8" width="13.33203125" bestFit="1" customWidth="1"/>
  </cols>
  <sheetData>
    <row r="1" spans="1:12">
      <c r="A1" t="s">
        <v>41</v>
      </c>
    </row>
    <row r="2" spans="1:12">
      <c r="A2" t="s">
        <v>42</v>
      </c>
    </row>
    <row r="5" spans="1:12">
      <c r="A5" t="s">
        <v>43</v>
      </c>
    </row>
    <row r="6" spans="1:12">
      <c r="A6" s="9" t="s">
        <v>55</v>
      </c>
      <c r="B6" s="10" t="s">
        <v>56</v>
      </c>
      <c r="C6" s="10"/>
      <c r="D6" s="10">
        <v>0.14000000000000001</v>
      </c>
      <c r="E6" s="10"/>
      <c r="F6" s="10"/>
      <c r="G6" s="10" t="s">
        <v>57</v>
      </c>
      <c r="H6" s="10">
        <v>0.05</v>
      </c>
      <c r="I6" s="10"/>
      <c r="J6" s="11"/>
    </row>
    <row r="7" spans="1:12">
      <c r="A7" s="12" t="s">
        <v>58</v>
      </c>
      <c r="B7" s="13"/>
      <c r="C7" s="13"/>
      <c r="D7" s="13"/>
      <c r="E7" s="13">
        <f>100*(1+0.5*D6)</f>
        <v>107</v>
      </c>
      <c r="F7" s="13"/>
      <c r="G7" s="13"/>
      <c r="H7" s="13"/>
      <c r="I7" s="13"/>
      <c r="J7" s="14"/>
    </row>
    <row r="8" spans="1:12">
      <c r="A8" s="12"/>
      <c r="B8" s="13" t="s">
        <v>59</v>
      </c>
      <c r="C8" s="13">
        <f>E7*EXP(-H6/2)</f>
        <v>104.35816058703159</v>
      </c>
      <c r="D8" s="13"/>
      <c r="E8" s="13"/>
      <c r="F8" s="13"/>
      <c r="G8" s="13"/>
      <c r="H8" s="13"/>
      <c r="I8" s="13"/>
      <c r="J8" s="14"/>
    </row>
    <row r="9" spans="1:12">
      <c r="A9" s="12"/>
      <c r="B9" s="13"/>
      <c r="C9" s="13"/>
      <c r="D9" s="13"/>
      <c r="E9" s="13"/>
      <c r="F9" s="13"/>
      <c r="G9" s="13"/>
      <c r="H9" s="13"/>
      <c r="I9" s="13"/>
      <c r="J9" s="14"/>
    </row>
    <row r="10" spans="1:12">
      <c r="A10" s="15" t="s">
        <v>62</v>
      </c>
      <c r="B10" s="16">
        <f>100*(1+L18/2)*EXP(-H6/2)</f>
        <v>98.872042331872223</v>
      </c>
      <c r="C10" s="16"/>
      <c r="D10" s="16"/>
      <c r="E10" s="16"/>
      <c r="F10" s="16"/>
      <c r="G10" s="16"/>
      <c r="H10" s="16"/>
      <c r="I10" s="16"/>
      <c r="J10" s="17"/>
    </row>
    <row r="12" spans="1:12">
      <c r="A12" t="s">
        <v>44</v>
      </c>
    </row>
    <row r="14" spans="1:12">
      <c r="A14" s="9" t="s">
        <v>37</v>
      </c>
      <c r="B14" s="10"/>
      <c r="C14" s="10"/>
      <c r="D14" s="10"/>
      <c r="E14" s="10"/>
      <c r="F14" s="10"/>
      <c r="G14" s="11"/>
    </row>
    <row r="15" spans="1:12">
      <c r="A15" s="12" t="s">
        <v>35</v>
      </c>
      <c r="B15" s="13"/>
      <c r="C15" s="13"/>
      <c r="D15" s="13"/>
      <c r="E15" s="13"/>
      <c r="F15" s="13"/>
      <c r="G15" s="14"/>
      <c r="I15" t="s">
        <v>66</v>
      </c>
      <c r="J15" t="s">
        <v>69</v>
      </c>
      <c r="L15" t="s">
        <v>31</v>
      </c>
    </row>
    <row r="16" spans="1:12">
      <c r="A16" s="12"/>
      <c r="B16" s="13"/>
      <c r="C16" s="13" t="s">
        <v>87</v>
      </c>
      <c r="D16" s="13">
        <f>104+10/32</f>
        <v>104.3125</v>
      </c>
      <c r="E16" s="13" t="s">
        <v>61</v>
      </c>
      <c r="F16" s="13">
        <f>D16+1.5/32</f>
        <v>104.359375</v>
      </c>
      <c r="G16" s="14"/>
      <c r="I16">
        <f>0.5*(D16+F16)/(100*(1+0.5*L16))</f>
        <v>0.97510221962616828</v>
      </c>
      <c r="J16">
        <f>LN(100*(1+0.5*L16)/(0.5*(D16+F16)))/0.5</f>
        <v>5.0425945674924151E-2</v>
      </c>
      <c r="L16">
        <v>0.14000000000000001</v>
      </c>
    </row>
    <row r="17" spans="1:12">
      <c r="A17" s="12" t="s">
        <v>36</v>
      </c>
      <c r="B17" s="13"/>
      <c r="C17" s="13"/>
      <c r="D17" s="13"/>
      <c r="E17" s="13"/>
      <c r="F17" s="13"/>
      <c r="G17" s="14"/>
    </row>
    <row r="18" spans="1:12">
      <c r="A18" s="15"/>
      <c r="B18" s="16"/>
      <c r="C18" s="16" t="s">
        <v>87</v>
      </c>
      <c r="D18" s="16">
        <v>98.75</v>
      </c>
      <c r="E18" s="16"/>
      <c r="F18" s="16">
        <f>D18+1.5/32</f>
        <v>98.796875</v>
      </c>
      <c r="G18" s="17"/>
      <c r="I18">
        <f>0.5*(D18+F18)/(100*(1+0.5*L18))</f>
        <v>0.97433723797780514</v>
      </c>
      <c r="J18">
        <f>LN(100*(1+0.5*L18)/(0.5*(D18+F18)))/0.5</f>
        <v>5.1995590086592769E-2</v>
      </c>
      <c r="L18">
        <v>2.75E-2</v>
      </c>
    </row>
    <row r="21" spans="1:12">
      <c r="A21" s="18" t="s">
        <v>38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</row>
    <row r="23" spans="1:12">
      <c r="C23" t="s">
        <v>40</v>
      </c>
    </row>
    <row r="24" spans="1:12">
      <c r="C24" t="s">
        <v>39</v>
      </c>
    </row>
    <row r="25" spans="1:12">
      <c r="C25" t="s">
        <v>30</v>
      </c>
    </row>
    <row r="26" spans="1:12">
      <c r="C26" t="s">
        <v>32</v>
      </c>
    </row>
    <row r="27" spans="1:12">
      <c r="C27" t="s">
        <v>33</v>
      </c>
    </row>
    <row r="29" spans="1:12">
      <c r="A29" s="18" t="s">
        <v>34</v>
      </c>
      <c r="B29" s="18"/>
      <c r="C29" s="18"/>
      <c r="D29" s="18"/>
      <c r="E29" s="18"/>
      <c r="F29" s="18"/>
      <c r="G29" s="18"/>
      <c r="H29" s="18"/>
      <c r="I29" s="18"/>
      <c r="J29" s="18"/>
      <c r="K29" s="21"/>
    </row>
    <row r="31" spans="1:12">
      <c r="A31" t="s">
        <v>72</v>
      </c>
      <c r="H31" s="7">
        <v>1000000000</v>
      </c>
    </row>
    <row r="32" spans="1:12">
      <c r="B32" t="s">
        <v>19</v>
      </c>
      <c r="E32" s="7">
        <f>H31*F18/100</f>
        <v>987968750</v>
      </c>
      <c r="F32" t="s">
        <v>20</v>
      </c>
    </row>
    <row r="34" spans="1:9">
      <c r="A34" t="s">
        <v>74</v>
      </c>
      <c r="G34" s="7">
        <f>H31*(1+0.5*L18)</f>
        <v>1013749999.9999999</v>
      </c>
    </row>
    <row r="35" spans="1:9">
      <c r="B35" t="s">
        <v>75</v>
      </c>
      <c r="F35" t="s">
        <v>54</v>
      </c>
      <c r="H35" t="s">
        <v>77</v>
      </c>
    </row>
    <row r="36" spans="1:9">
      <c r="F36" s="7">
        <f>-E32</f>
        <v>-987968750</v>
      </c>
      <c r="G36" t="s">
        <v>76</v>
      </c>
      <c r="H36" s="7">
        <f>G34</f>
        <v>1013749999.9999999</v>
      </c>
    </row>
    <row r="38" spans="1:9">
      <c r="A38" t="s">
        <v>78</v>
      </c>
    </row>
    <row r="39" spans="1:9">
      <c r="C39" t="s">
        <v>79</v>
      </c>
      <c r="F39">
        <f>100*(1+0.5*L16)</f>
        <v>107</v>
      </c>
    </row>
    <row r="40" spans="1:9">
      <c r="B40" t="s">
        <v>80</v>
      </c>
      <c r="C40" s="7">
        <f>H36/(F39/100)</f>
        <v>947429906.54205596</v>
      </c>
      <c r="D40" t="s">
        <v>81</v>
      </c>
    </row>
    <row r="42" spans="1:9">
      <c r="C42" t="s">
        <v>21</v>
      </c>
      <c r="F42" s="7">
        <f>C40*D16/100</f>
        <v>988287821.26168215</v>
      </c>
      <c r="G42" t="s">
        <v>76</v>
      </c>
      <c r="H42" s="7">
        <f>-C40*F39/100</f>
        <v>-1013749999.9999999</v>
      </c>
      <c r="I42" t="s">
        <v>22</v>
      </c>
    </row>
    <row r="43" spans="1:9">
      <c r="D43" t="s">
        <v>108</v>
      </c>
      <c r="F43" s="8">
        <f>F42+F36</f>
        <v>319071.26168215275</v>
      </c>
      <c r="G43" t="s">
        <v>76</v>
      </c>
      <c r="H43" s="7">
        <f>H42+H36</f>
        <v>0</v>
      </c>
    </row>
    <row r="45" spans="1:9">
      <c r="A45" t="s">
        <v>23</v>
      </c>
    </row>
    <row r="46" spans="1:9">
      <c r="B46" t="s">
        <v>24</v>
      </c>
    </row>
  </sheetData>
  <phoneticPr fontId="1" type="noConversion"/>
  <pageMargins left="0.7" right="0.7" top="0.75" bottom="0.75" header="0.3" footer="0.3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49"/>
  <sheetViews>
    <sheetView topLeftCell="A24" zoomScale="140" zoomScaleNormal="140" zoomScalePageLayoutView="140" workbookViewId="0">
      <selection activeCell="I38" sqref="I38"/>
    </sheetView>
  </sheetViews>
  <sheetFormatPr baseColWidth="10" defaultColWidth="8.83203125" defaultRowHeight="14"/>
  <cols>
    <col min="3" max="3" width="13.6640625" customWidth="1"/>
    <col min="5" max="5" width="10.5" bestFit="1" customWidth="1"/>
    <col min="6" max="6" width="14.1640625" customWidth="1"/>
    <col min="7" max="7" width="12.5" customWidth="1"/>
    <col min="8" max="8" width="14.83203125" customWidth="1"/>
  </cols>
  <sheetData>
    <row r="1" spans="1:9">
      <c r="A1" t="s">
        <v>25</v>
      </c>
    </row>
    <row r="2" spans="1:9">
      <c r="A2" t="s">
        <v>26</v>
      </c>
    </row>
    <row r="7" spans="1:9">
      <c r="A7" t="s">
        <v>55</v>
      </c>
      <c r="B7" t="s">
        <v>56</v>
      </c>
      <c r="D7">
        <v>0.14000000000000001</v>
      </c>
      <c r="G7" t="s">
        <v>57</v>
      </c>
      <c r="H7">
        <v>0.05</v>
      </c>
    </row>
    <row r="8" spans="1:9">
      <c r="A8" t="s">
        <v>58</v>
      </c>
      <c r="E8">
        <f>100*(1+0.5*D7)</f>
        <v>107</v>
      </c>
    </row>
    <row r="9" spans="1:9">
      <c r="B9" t="s">
        <v>59</v>
      </c>
      <c r="C9">
        <f>E8*EXP(-H7/2)</f>
        <v>104.35816058703159</v>
      </c>
    </row>
    <row r="11" spans="1:9">
      <c r="A11" t="s">
        <v>62</v>
      </c>
      <c r="B11">
        <f>100*(1+E16/2)*EXP(-H7/2)</f>
        <v>98.872042331872223</v>
      </c>
    </row>
    <row r="13" spans="1:9">
      <c r="A13" t="s">
        <v>55</v>
      </c>
      <c r="B13" t="s">
        <v>60</v>
      </c>
      <c r="E13">
        <v>0.14000000000000001</v>
      </c>
      <c r="H13" t="s">
        <v>66</v>
      </c>
      <c r="I13" t="s">
        <v>69</v>
      </c>
    </row>
    <row r="14" spans="1:9">
      <c r="C14" t="s">
        <v>87</v>
      </c>
      <c r="D14">
        <f>'New Example'!D16-5/32</f>
        <v>104.15625</v>
      </c>
      <c r="E14" t="s">
        <v>61</v>
      </c>
      <c r="F14">
        <f>'New Example'!F16+5/32</f>
        <v>104.515625</v>
      </c>
      <c r="H14">
        <f>0.5*(D14+F14)/(100*(1+0.5*E13))</f>
        <v>0.97510221962616828</v>
      </c>
      <c r="I14">
        <f>LN(100*(1+0.5*E13)/(0.5*(D14+F14)))/0.5</f>
        <v>5.0425945674924151E-2</v>
      </c>
    </row>
    <row r="16" spans="1:9">
      <c r="A16" t="s">
        <v>62</v>
      </c>
      <c r="B16" t="s">
        <v>63</v>
      </c>
      <c r="E16">
        <v>2.75E-2</v>
      </c>
    </row>
    <row r="17" spans="1:9">
      <c r="C17" t="s">
        <v>87</v>
      </c>
      <c r="D17">
        <f>'New Example'!D18-5/32</f>
        <v>98.59375</v>
      </c>
      <c r="F17">
        <f>'New Example'!F18+5/32</f>
        <v>98.953125</v>
      </c>
      <c r="H17">
        <f>0.5*(D17+F17)/(100*(1+0.5*E16))</f>
        <v>0.97433723797780514</v>
      </c>
      <c r="I17">
        <f>LN(100*(1+0.5*E16)/(0.5*(D17+F17)))/0.5</f>
        <v>5.1995590086592769E-2</v>
      </c>
    </row>
    <row r="20" spans="1:9">
      <c r="A20" t="s">
        <v>64</v>
      </c>
      <c r="C20" t="s">
        <v>27</v>
      </c>
    </row>
    <row r="21" spans="1:9">
      <c r="C21" t="s">
        <v>65</v>
      </c>
      <c r="G21" t="s">
        <v>67</v>
      </c>
    </row>
    <row r="22" spans="1:9">
      <c r="C22" t="s">
        <v>68</v>
      </c>
      <c r="G22" t="s">
        <v>70</v>
      </c>
    </row>
    <row r="23" spans="1:9">
      <c r="D23" t="s">
        <v>71</v>
      </c>
    </row>
    <row r="25" spans="1:9">
      <c r="A25" t="s">
        <v>72</v>
      </c>
      <c r="H25" s="7">
        <v>1000000000</v>
      </c>
    </row>
    <row r="26" spans="1:9">
      <c r="B26" t="s">
        <v>73</v>
      </c>
      <c r="E26" s="7">
        <f>H25*F17/100</f>
        <v>989531250</v>
      </c>
      <c r="F26" t="s">
        <v>28</v>
      </c>
    </row>
    <row r="28" spans="1:9">
      <c r="A28" t="s">
        <v>74</v>
      </c>
      <c r="G28" s="7">
        <f>H25*(1+0.5*E16)</f>
        <v>1013749999.9999999</v>
      </c>
      <c r="H28" t="s">
        <v>29</v>
      </c>
    </row>
    <row r="29" spans="1:9">
      <c r="B29" t="s">
        <v>75</v>
      </c>
      <c r="F29" t="s">
        <v>54</v>
      </c>
      <c r="H29" t="s">
        <v>77</v>
      </c>
    </row>
    <row r="30" spans="1:9">
      <c r="F30" s="7">
        <f>-E26</f>
        <v>-989531250</v>
      </c>
      <c r="G30" t="s">
        <v>76</v>
      </c>
      <c r="H30" s="7">
        <f>G28</f>
        <v>1013749999.9999999</v>
      </c>
    </row>
    <row r="32" spans="1:9">
      <c r="A32" t="s">
        <v>78</v>
      </c>
    </row>
    <row r="33" spans="1:9">
      <c r="C33" t="s">
        <v>79</v>
      </c>
      <c r="F33">
        <f>100*(1+0.5*E13)</f>
        <v>107</v>
      </c>
    </row>
    <row r="34" spans="1:9">
      <c r="B34" t="s">
        <v>80</v>
      </c>
      <c r="C34" s="7">
        <f>H30/(F33/100)</f>
        <v>947429906.54205596</v>
      </c>
      <c r="D34" t="s">
        <v>81</v>
      </c>
      <c r="I34" t="s">
        <v>9</v>
      </c>
    </row>
    <row r="36" spans="1:9">
      <c r="A36" t="s">
        <v>10</v>
      </c>
      <c r="F36" s="7">
        <f>C34*D14/100</f>
        <v>986807462.03271008</v>
      </c>
      <c r="G36" t="s">
        <v>76</v>
      </c>
      <c r="H36" s="7">
        <f>-C34*F33/100</f>
        <v>-1013749999.9999999</v>
      </c>
    </row>
    <row r="37" spans="1:9">
      <c r="D37" t="s">
        <v>108</v>
      </c>
      <c r="F37" s="22">
        <f>F36+F30</f>
        <v>-2723787.9672899246</v>
      </c>
      <c r="G37" t="s">
        <v>76</v>
      </c>
      <c r="H37" s="7">
        <f>H36+H30</f>
        <v>0</v>
      </c>
      <c r="I37" t="s">
        <v>6</v>
      </c>
    </row>
    <row r="39" spans="1:9">
      <c r="A39" t="s">
        <v>11</v>
      </c>
    </row>
    <row r="40" spans="1:9">
      <c r="A40" t="s">
        <v>12</v>
      </c>
    </row>
    <row r="42" spans="1:9">
      <c r="B42" t="s">
        <v>13</v>
      </c>
    </row>
    <row r="43" spans="1:9">
      <c r="F43" s="7">
        <f>H25*D17/100</f>
        <v>985937500</v>
      </c>
      <c r="G43" t="s">
        <v>76</v>
      </c>
      <c r="H43" s="7">
        <f>-H30</f>
        <v>-1013749999.9999999</v>
      </c>
    </row>
    <row r="44" spans="1:9">
      <c r="B44" t="s">
        <v>14</v>
      </c>
    </row>
    <row r="45" spans="1:9">
      <c r="F45" s="7">
        <f>-C34*F14/100</f>
        <v>-990212288.25934565</v>
      </c>
      <c r="G45" t="s">
        <v>76</v>
      </c>
      <c r="H45" s="7">
        <f>-H36</f>
        <v>1013749999.9999999</v>
      </c>
    </row>
    <row r="46" spans="1:9">
      <c r="D46" t="s">
        <v>108</v>
      </c>
      <c r="F46" s="22">
        <f>F45+F43</f>
        <v>-4274788.2593456507</v>
      </c>
      <c r="G46" t="s">
        <v>76</v>
      </c>
      <c r="H46" s="7">
        <f>H45+H43</f>
        <v>0</v>
      </c>
    </row>
    <row r="48" spans="1:9">
      <c r="A48" t="s">
        <v>15</v>
      </c>
    </row>
    <row r="49" spans="1:1">
      <c r="A49" t="s">
        <v>16</v>
      </c>
    </row>
  </sheetData>
  <phoneticPr fontId="1" type="noConversion"/>
  <pageMargins left="0.7" right="0.7" top="0.75" bottom="0.75" header="0.3" footer="0.3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26"/>
  <sheetViews>
    <sheetView zoomScale="125" workbookViewId="0">
      <selection activeCell="D20" sqref="D20"/>
    </sheetView>
  </sheetViews>
  <sheetFormatPr baseColWidth="10" defaultColWidth="10.83203125" defaultRowHeight="14"/>
  <sheetData>
    <row r="1" spans="1:9">
      <c r="A1" t="s">
        <v>189</v>
      </c>
    </row>
    <row r="2" spans="1:9">
      <c r="A2" t="s">
        <v>190</v>
      </c>
      <c r="D2" t="s">
        <v>142</v>
      </c>
      <c r="E2">
        <v>96.9375</v>
      </c>
      <c r="F2" t="s">
        <v>141</v>
      </c>
      <c r="G2">
        <v>96.96875</v>
      </c>
    </row>
    <row r="3" spans="1:9">
      <c r="A3" t="s">
        <v>191</v>
      </c>
      <c r="E3">
        <v>99.6875</v>
      </c>
      <c r="G3">
        <v>99.71875</v>
      </c>
      <c r="I3">
        <v>5.7500000000000002E-2</v>
      </c>
    </row>
    <row r="5" spans="1:9">
      <c r="A5" t="s">
        <v>145</v>
      </c>
    </row>
    <row r="8" spans="1:9">
      <c r="A8" t="s">
        <v>138</v>
      </c>
    </row>
    <row r="9" spans="1:9">
      <c r="B9" t="s">
        <v>192</v>
      </c>
      <c r="C9">
        <f>LN(100/(0.5*(E2+G2)))/0.5</f>
        <v>6.1885143418111091E-2</v>
      </c>
    </row>
    <row r="10" spans="1:9">
      <c r="B10" t="s">
        <v>139</v>
      </c>
      <c r="C10">
        <f>LN(100*(1+0.5*I3)/(0.5*(E3+G3)))/0.5</f>
        <v>6.2635276977117627E-2</v>
      </c>
    </row>
    <row r="12" spans="1:9">
      <c r="A12" t="s">
        <v>140</v>
      </c>
    </row>
    <row r="14" spans="1:9">
      <c r="B14" t="s">
        <v>169</v>
      </c>
    </row>
    <row r="16" spans="1:9">
      <c r="B16" t="s">
        <v>170</v>
      </c>
      <c r="E16" s="6">
        <v>10000000</v>
      </c>
    </row>
    <row r="17" spans="2:5">
      <c r="B17" t="s">
        <v>171</v>
      </c>
    </row>
    <row r="18" spans="2:5">
      <c r="C18" t="s">
        <v>172</v>
      </c>
      <c r="D18">
        <v>0</v>
      </c>
      <c r="E18">
        <v>0.5</v>
      </c>
    </row>
    <row r="19" spans="2:5">
      <c r="C19" t="s">
        <v>173</v>
      </c>
      <c r="D19" s="6">
        <f>-E16*G3/100</f>
        <v>-9971875</v>
      </c>
      <c r="E19" s="6">
        <f>E16*(1+0.5*I3)</f>
        <v>10287500</v>
      </c>
    </row>
    <row r="21" spans="2:5">
      <c r="B21" t="s">
        <v>174</v>
      </c>
    </row>
    <row r="22" spans="2:5">
      <c r="B22" t="s">
        <v>175</v>
      </c>
    </row>
    <row r="23" spans="2:5">
      <c r="B23" t="s">
        <v>176</v>
      </c>
      <c r="D23" s="6">
        <f>E19</f>
        <v>10287500</v>
      </c>
      <c r="E23" t="s">
        <v>177</v>
      </c>
    </row>
    <row r="25" spans="2:5">
      <c r="D25" s="6">
        <f>-E2/100*E25</f>
        <v>9972445.3125</v>
      </c>
      <c r="E25" s="6">
        <f>-E19</f>
        <v>-10287500</v>
      </c>
    </row>
    <row r="26" spans="2:5">
      <c r="B26" t="s">
        <v>178</v>
      </c>
      <c r="D26" s="6">
        <f>D19+D25</f>
        <v>570.3125</v>
      </c>
      <c r="E26" s="6">
        <f>E19+E25</f>
        <v>0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J25"/>
  <sheetViews>
    <sheetView zoomScale="125" zoomScaleNormal="125" zoomScalePageLayoutView="125" workbookViewId="0">
      <selection activeCell="C29" sqref="C29"/>
    </sheetView>
  </sheetViews>
  <sheetFormatPr baseColWidth="10" defaultColWidth="10.83203125" defaultRowHeight="14"/>
  <cols>
    <col min="5" max="5" width="11.1640625" bestFit="1" customWidth="1"/>
  </cols>
  <sheetData>
    <row r="1" spans="1:7">
      <c r="A1" t="s">
        <v>118</v>
      </c>
    </row>
    <row r="2" spans="1:7">
      <c r="A2" t="s">
        <v>143</v>
      </c>
      <c r="D2" t="s">
        <v>142</v>
      </c>
      <c r="E2">
        <v>101.75</v>
      </c>
      <c r="F2" t="s">
        <v>141</v>
      </c>
      <c r="G2">
        <v>101.78125</v>
      </c>
    </row>
    <row r="3" spans="1:7">
      <c r="A3" t="s">
        <v>144</v>
      </c>
      <c r="E3">
        <v>98.71875</v>
      </c>
      <c r="G3">
        <v>98.78125</v>
      </c>
    </row>
    <row r="5" spans="1:7">
      <c r="A5" t="s">
        <v>145</v>
      </c>
    </row>
    <row r="7" spans="1:7">
      <c r="A7" t="s">
        <v>180</v>
      </c>
    </row>
    <row r="8" spans="1:7">
      <c r="B8" t="s">
        <v>172</v>
      </c>
      <c r="C8">
        <v>0</v>
      </c>
      <c r="E8">
        <v>0.5</v>
      </c>
    </row>
    <row r="9" spans="1:7">
      <c r="A9">
        <v>8.7499999999999994E-2</v>
      </c>
      <c r="B9" t="s">
        <v>179</v>
      </c>
      <c r="C9">
        <f>0.5*(E2+G2)</f>
        <v>101.765625</v>
      </c>
      <c r="D9" t="s">
        <v>181</v>
      </c>
      <c r="E9">
        <f>100*(1+A9/2)</f>
        <v>104.375</v>
      </c>
      <c r="F9" t="s">
        <v>182</v>
      </c>
      <c r="G9">
        <f>LN(E9/C9)/E8</f>
        <v>5.0635615968579573E-2</v>
      </c>
    </row>
    <row r="10" spans="1:7">
      <c r="A10">
        <v>2.75E-2</v>
      </c>
      <c r="B10" t="s">
        <v>139</v>
      </c>
      <c r="C10">
        <f>0.5*(E3+G3)</f>
        <v>98.75</v>
      </c>
      <c r="D10" t="s">
        <v>181</v>
      </c>
      <c r="E10">
        <f>100*(1+A10/2)</f>
        <v>101.375</v>
      </c>
      <c r="G10">
        <f>LN(E10/C10)/E8</f>
        <v>5.2470217308691329E-2</v>
      </c>
    </row>
    <row r="12" spans="1:7">
      <c r="A12" t="s">
        <v>183</v>
      </c>
    </row>
    <row r="13" spans="1:7">
      <c r="A13" t="s">
        <v>184</v>
      </c>
      <c r="F13" s="7">
        <v>100000000</v>
      </c>
    </row>
    <row r="15" spans="1:7">
      <c r="A15" t="s">
        <v>185</v>
      </c>
    </row>
    <row r="16" spans="1:7">
      <c r="B16" t="s">
        <v>172</v>
      </c>
      <c r="C16">
        <v>0</v>
      </c>
      <c r="E16">
        <v>0.5</v>
      </c>
    </row>
    <row r="17" spans="1:10">
      <c r="B17" t="s">
        <v>173</v>
      </c>
      <c r="C17" s="7">
        <f>-F13*G3/100</f>
        <v>-98781250</v>
      </c>
      <c r="D17" t="s">
        <v>181</v>
      </c>
      <c r="E17" s="7">
        <f>F13*(1+0.5*A10)</f>
        <v>101375000</v>
      </c>
    </row>
    <row r="19" spans="1:10">
      <c r="A19" t="s">
        <v>163</v>
      </c>
      <c r="I19" s="7">
        <f>E17/(E9/100)</f>
        <v>97125748.502994016</v>
      </c>
      <c r="J19" t="s">
        <v>164</v>
      </c>
    </row>
    <row r="20" spans="1:10">
      <c r="A20" t="s">
        <v>165</v>
      </c>
    </row>
    <row r="21" spans="1:10">
      <c r="B21" t="s">
        <v>173</v>
      </c>
      <c r="C21" s="7">
        <f>I19*E2/100</f>
        <v>98825449.101796418</v>
      </c>
      <c r="D21" t="s">
        <v>181</v>
      </c>
      <c r="E21" s="7">
        <f>-I19*(1+0.5*A9)</f>
        <v>-101375000</v>
      </c>
    </row>
    <row r="23" spans="1:10">
      <c r="A23" t="s">
        <v>166</v>
      </c>
      <c r="C23" s="7">
        <f>C17+C21</f>
        <v>44199.101796418428</v>
      </c>
      <c r="D23" t="s">
        <v>181</v>
      </c>
      <c r="E23" s="7">
        <f>E17+E21</f>
        <v>0</v>
      </c>
    </row>
    <row r="25" spans="1:10">
      <c r="A25" t="s">
        <v>167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Lecture</vt:lpstr>
      <vt:lpstr>New Example</vt:lpstr>
      <vt:lpstr>Trans Costs</vt:lpstr>
      <vt:lpstr>Key 1</vt:lpstr>
      <vt:lpstr>Key 2</vt:lpstr>
    </vt:vector>
  </TitlesOfParts>
  <Company/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Lamoureux, Christopher G - (lamoureu)</dc:creator>
  <cp:lastModifiedBy>Chris Lamoureux</cp:lastModifiedBy>
  <dcterms:created xsi:type="dcterms:W3CDTF">2018-11-06T15:37:03Z</dcterms:created>
  <dcterms:modified xsi:type="dcterms:W3CDTF">2018-11-08T21:24:32Z</dcterms:modified>
</cp:coreProperties>
</file>