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ate1904="1" showInkAnnotation="0" autoCompressPictures="0"/>
  <bookViews>
    <workbookView xWindow="885" yWindow="-60" windowWidth="24795" windowHeight="13740" tabRatio="500"/>
  </bookViews>
  <sheets>
    <sheet name="Sheet1" sheetId="1" r:id="rId1"/>
  </sheets>
  <calcPr calcId="145621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N152" i="1" l="1"/>
  <c r="J150" i="1"/>
  <c r="E140" i="1"/>
  <c r="E139" i="1"/>
  <c r="E128" i="1"/>
  <c r="D135" i="1"/>
  <c r="E127" i="1"/>
  <c r="D134" i="1"/>
  <c r="I151" i="1"/>
  <c r="K151" i="1"/>
  <c r="C149" i="1"/>
  <c r="C147" i="1"/>
  <c r="D147" i="1"/>
  <c r="D149" i="1"/>
  <c r="D153" i="1"/>
  <c r="C153" i="1"/>
  <c r="C135" i="1"/>
  <c r="E135" i="1"/>
  <c r="C134" i="1"/>
  <c r="E134" i="1"/>
  <c r="C97" i="1"/>
  <c r="C107" i="1"/>
  <c r="B109" i="1"/>
  <c r="D97" i="1"/>
  <c r="D107" i="1"/>
  <c r="B110" i="1"/>
  <c r="E97" i="1"/>
  <c r="E107" i="1"/>
  <c r="B111" i="1"/>
  <c r="F97" i="1"/>
  <c r="F107" i="1"/>
  <c r="B112" i="1"/>
  <c r="G97" i="1"/>
  <c r="G107" i="1"/>
  <c r="B113" i="1"/>
  <c r="H97" i="1"/>
  <c r="H107" i="1"/>
  <c r="B114" i="1"/>
  <c r="F103" i="1"/>
  <c r="B116" i="1"/>
  <c r="B118" i="1"/>
  <c r="F121" i="1"/>
  <c r="H114" i="1"/>
  <c r="H116" i="1"/>
  <c r="H118" i="1"/>
  <c r="G113" i="1"/>
  <c r="G116" i="1"/>
  <c r="G118" i="1"/>
  <c r="F112" i="1"/>
  <c r="F116" i="1"/>
  <c r="F118" i="1"/>
  <c r="E111" i="1"/>
  <c r="E116" i="1"/>
  <c r="E118" i="1"/>
  <c r="D110" i="1"/>
  <c r="D116" i="1"/>
  <c r="D118" i="1"/>
  <c r="C109" i="1"/>
  <c r="C116" i="1"/>
  <c r="C118" i="1"/>
  <c r="G4" i="1"/>
  <c r="C98" i="1"/>
  <c r="C99" i="1"/>
  <c r="G6" i="1"/>
  <c r="D98" i="1"/>
  <c r="D99" i="1"/>
  <c r="G8" i="1"/>
  <c r="E98" i="1"/>
  <c r="E99" i="1"/>
  <c r="G10" i="1"/>
  <c r="F98" i="1"/>
  <c r="F99" i="1"/>
  <c r="G12" i="1"/>
  <c r="G98" i="1"/>
  <c r="G99" i="1"/>
  <c r="G14" i="1"/>
  <c r="H98" i="1"/>
  <c r="H99" i="1"/>
  <c r="B100" i="1"/>
  <c r="C89" i="1"/>
  <c r="G3" i="1"/>
  <c r="C90" i="1"/>
  <c r="C91" i="1"/>
  <c r="D89" i="1"/>
  <c r="G5" i="1"/>
  <c r="D90" i="1"/>
  <c r="D91" i="1"/>
  <c r="B92" i="1"/>
  <c r="C42" i="1"/>
  <c r="C74" i="1"/>
  <c r="C75" i="1"/>
  <c r="D42" i="1"/>
  <c r="D74" i="1"/>
  <c r="D75" i="1"/>
  <c r="E42" i="1"/>
  <c r="E74" i="1"/>
  <c r="E75" i="1"/>
  <c r="B76" i="1"/>
  <c r="D69" i="1"/>
  <c r="B79" i="1"/>
  <c r="B81" i="1"/>
  <c r="F84" i="1"/>
  <c r="E76" i="1"/>
  <c r="E79" i="1"/>
  <c r="E81" i="1"/>
  <c r="D76" i="1"/>
  <c r="D79" i="1"/>
  <c r="D81" i="1"/>
  <c r="C76" i="1"/>
  <c r="C79" i="1"/>
  <c r="C81" i="1"/>
  <c r="F69" i="1"/>
  <c r="C56" i="1"/>
  <c r="C57" i="1"/>
  <c r="D56" i="1"/>
  <c r="D57" i="1"/>
  <c r="E56" i="1"/>
  <c r="E57" i="1"/>
  <c r="B58" i="1"/>
  <c r="E50" i="1"/>
  <c r="B61" i="1"/>
  <c r="B63" i="1"/>
  <c r="F66" i="1"/>
  <c r="E58" i="1"/>
  <c r="E61" i="1"/>
  <c r="E63" i="1"/>
  <c r="D58" i="1"/>
  <c r="D61" i="1"/>
  <c r="D63" i="1"/>
  <c r="C58" i="1"/>
  <c r="C61" i="1"/>
  <c r="C63" i="1"/>
  <c r="C50" i="1"/>
  <c r="C45" i="1"/>
  <c r="C46" i="1"/>
  <c r="D45" i="1"/>
  <c r="D46" i="1"/>
  <c r="E45" i="1"/>
  <c r="E46" i="1"/>
  <c r="B47" i="1"/>
  <c r="G18" i="1"/>
  <c r="I18" i="1"/>
  <c r="H18" i="1"/>
  <c r="G17" i="1"/>
  <c r="I17" i="1"/>
  <c r="H17" i="1"/>
  <c r="G16" i="1"/>
  <c r="I16" i="1"/>
  <c r="H16" i="1"/>
  <c r="G15" i="1"/>
  <c r="I15" i="1"/>
  <c r="H15" i="1"/>
  <c r="I14" i="1"/>
  <c r="H14" i="1"/>
  <c r="G13" i="1"/>
  <c r="I13" i="1"/>
  <c r="H13" i="1"/>
  <c r="I12" i="1"/>
  <c r="H12" i="1"/>
  <c r="G11" i="1"/>
  <c r="I11" i="1"/>
  <c r="H11" i="1"/>
  <c r="I10" i="1"/>
  <c r="H10" i="1"/>
  <c r="G9" i="1"/>
  <c r="I9" i="1"/>
  <c r="H9" i="1"/>
  <c r="I8" i="1"/>
  <c r="H8" i="1"/>
  <c r="G7" i="1"/>
  <c r="I7" i="1"/>
  <c r="H7" i="1"/>
  <c r="I6" i="1"/>
  <c r="H6" i="1"/>
  <c r="I5" i="1"/>
  <c r="H5" i="1"/>
  <c r="I4" i="1"/>
  <c r="H4" i="1"/>
  <c r="I3" i="1"/>
  <c r="H3" i="1"/>
</calcChain>
</file>

<file path=xl/sharedStrings.xml><?xml version="1.0" encoding="utf-8"?>
<sst xmlns="http://schemas.openxmlformats.org/spreadsheetml/2006/main" count="126" uniqueCount="104">
  <si>
    <t>Total Cash Flow:</t>
    <phoneticPr fontId="3" type="noConversion"/>
  </si>
  <si>
    <t xml:space="preserve">  Verify:</t>
    <phoneticPr fontId="3" type="noConversion"/>
  </si>
  <si>
    <t>Since an arb is possible we don't expect this situation to last very long before it is traded away.</t>
    <phoneticPr fontId="3" type="noConversion"/>
  </si>
  <si>
    <t>(You should understand intuitively why this is.)</t>
    <phoneticPr fontId="3" type="noConversion"/>
  </si>
  <si>
    <t>This is done in Column G</t>
    <phoneticPr fontId="3" type="noConversion"/>
  </si>
  <si>
    <t>This is done in Column H.</t>
    <phoneticPr fontId="3" type="noConversion"/>
  </si>
  <si>
    <t>The yields are different, which suggests that there might be an arbitrage opportunity.</t>
    <phoneticPr fontId="3" type="noConversion"/>
  </si>
  <si>
    <t xml:space="preserve">   If it exists we should buy the note and sell the bond.  Effectively we want to pick up the spread between these 2 securities.</t>
    <phoneticPr fontId="3" type="noConversion"/>
  </si>
  <si>
    <t xml:space="preserve">   Implied discount factors:</t>
    <phoneticPr fontId="3" type="noConversion"/>
  </si>
  <si>
    <t>We can also compute these implied discount factors from the 2 securities' spread midpoints, and see that the note is cheaper than the bond.</t>
    <phoneticPr fontId="3" type="noConversion"/>
  </si>
  <si>
    <t>Arb Trade:</t>
    <phoneticPr fontId="3" type="noConversion"/>
  </si>
  <si>
    <t>Buy note and simultaneously sell the bond so that the terminal cash flow is 0.</t>
    <phoneticPr fontId="3" type="noConversion"/>
  </si>
  <si>
    <t>Par Amount:</t>
    <phoneticPr fontId="3" type="noConversion"/>
  </si>
  <si>
    <t>Buy Note:</t>
    <phoneticPr fontId="3" type="noConversion"/>
  </si>
  <si>
    <t>Time: (Yrs)</t>
    <phoneticPr fontId="3" type="noConversion"/>
  </si>
  <si>
    <t xml:space="preserve">  I start by pinning down the terminal cash flow to match that from the note position in absolute value.</t>
    <phoneticPr fontId="3" type="noConversion"/>
  </si>
  <si>
    <t xml:space="preserve">  Next I need the exchange rate between the note and the bond:</t>
    <phoneticPr fontId="3" type="noConversion"/>
  </si>
  <si>
    <t xml:space="preserve">   Ascertain the par value of bonds we want to short:</t>
    <phoneticPr fontId="3" type="noConversion"/>
  </si>
  <si>
    <t>For our purposes we approximate every calendar quarter as 1/4 of a year.</t>
    <phoneticPr fontId="3" type="noConversion"/>
  </si>
  <si>
    <t>Bid</t>
    <phoneticPr fontId="3" type="noConversion"/>
  </si>
  <si>
    <t>Ask</t>
    <phoneticPr fontId="3" type="noConversion"/>
  </si>
  <si>
    <t>1. What are the discount factors over the next 4 years.</t>
    <phoneticPr fontId="3" type="noConversion"/>
  </si>
  <si>
    <t xml:space="preserve">     </t>
    <phoneticPr fontId="3" type="noConversion"/>
  </si>
  <si>
    <t>We have 0 coupon bond prices expressed as percentage of par.</t>
    <phoneticPr fontId="3" type="noConversion"/>
  </si>
  <si>
    <t>To get the discount factor, we just divide the 0-coupon bond price by 100.</t>
    <phoneticPr fontId="3" type="noConversion"/>
  </si>
  <si>
    <t>But we have 2 price quotes -- Solution take the midpoint.</t>
    <phoneticPr fontId="3" type="noConversion"/>
  </si>
  <si>
    <t>df(T)</t>
    <phoneticPr fontId="3" type="noConversion"/>
  </si>
  <si>
    <t>df(T)</t>
    <phoneticPr fontId="3" type="noConversion"/>
  </si>
  <si>
    <t>2. Yield Curve on a cc basis.</t>
    <phoneticPr fontId="3" type="noConversion"/>
  </si>
  <si>
    <t>Basic formula since we already have discount factors:</t>
    <phoneticPr fontId="3" type="noConversion"/>
  </si>
  <si>
    <t>Solve for r:</t>
    <phoneticPr fontId="3" type="noConversion"/>
  </si>
  <si>
    <t>df * exp(rT) = 1</t>
    <phoneticPr fontId="3" type="noConversion"/>
  </si>
  <si>
    <t>r = ln(1/df)/T</t>
    <phoneticPr fontId="3" type="noConversion"/>
  </si>
  <si>
    <t>ccytm</t>
    <phoneticPr fontId="3" type="noConversion"/>
  </si>
  <si>
    <t>3. Yield Curve on be basis.</t>
    <phoneticPr fontId="3" type="noConversion"/>
  </si>
  <si>
    <t>If we use $100 million par then the profit is:</t>
    <phoneticPr fontId="3" type="noConversion"/>
  </si>
  <si>
    <t>2 Coupon-paying securities relative to one another:</t>
    <phoneticPr fontId="3" type="noConversion"/>
  </si>
  <si>
    <t>1. Bond</t>
    <phoneticPr fontId="3" type="noConversion"/>
  </si>
  <si>
    <t>Terminal payoff in 6 months:</t>
    <phoneticPr fontId="3" type="noConversion"/>
  </si>
  <si>
    <t>2. Note</t>
    <phoneticPr fontId="3" type="noConversion"/>
  </si>
  <si>
    <t xml:space="preserve">Bid </t>
    <phoneticPr fontId="3" type="noConversion"/>
  </si>
  <si>
    <t>Ask</t>
    <phoneticPr fontId="3" type="noConversion"/>
  </si>
  <si>
    <t>Compute the cc ytm:  Since we are neither buying or selling, we will use the spread midpoint for this question:</t>
    <phoneticPr fontId="3" type="noConversion"/>
  </si>
  <si>
    <t>Spread MidPt</t>
    <phoneticPr fontId="3" type="noConversion"/>
  </si>
  <si>
    <t>Bond</t>
    <phoneticPr fontId="3" type="noConversion"/>
  </si>
  <si>
    <t>Note</t>
    <phoneticPr fontId="3" type="noConversion"/>
  </si>
  <si>
    <t>P * e^(rT) = FV</t>
    <phoneticPr fontId="3" type="noConversion"/>
  </si>
  <si>
    <t>cc ytm</t>
    <phoneticPr fontId="3" type="noConversion"/>
  </si>
  <si>
    <t>Replicating Portfolio:</t>
    <phoneticPr fontId="3" type="noConversion"/>
  </si>
  <si>
    <t>Sell STRIPS</t>
    <phoneticPr fontId="3" type="noConversion"/>
  </si>
  <si>
    <t>Buy Note:</t>
    <phoneticPr fontId="3" type="noConversion"/>
  </si>
  <si>
    <t>Total Cash:</t>
    <phoneticPr fontId="3" type="noConversion"/>
  </si>
  <si>
    <t>So if we do this for $100 million, our arbitrage profit is:</t>
    <phoneticPr fontId="3" type="noConversion"/>
  </si>
  <si>
    <t>It appears that we should be able to make arbitrage by selling the bond  and simultaneously buying a synthetic replica of the bond constructed with STRIPS:</t>
    <phoneticPr fontId="3" type="noConversion"/>
  </si>
  <si>
    <t>Instead suppose that the price quote is:</t>
    <phoneticPr fontId="3" type="noConversion"/>
  </si>
  <si>
    <t>Our replication is as above (but now we are buying the STRIPS).</t>
    <phoneticPr fontId="3" type="noConversion"/>
  </si>
  <si>
    <t>Price to Buy:</t>
    <phoneticPr fontId="3" type="noConversion"/>
  </si>
  <si>
    <t>Sell the bond:</t>
    <phoneticPr fontId="3" type="noConversion"/>
  </si>
  <si>
    <t>5. 7.25% 2/15/2020 Bond.</t>
    <phoneticPr fontId="3" type="noConversion"/>
  </si>
  <si>
    <t>CF:</t>
    <phoneticPr fontId="3" type="noConversion"/>
  </si>
  <si>
    <t>6.  5/15/2022 2.625% Note</t>
    <phoneticPr fontId="3" type="noConversion"/>
  </si>
  <si>
    <t>CF:</t>
    <phoneticPr fontId="3" type="noConversion"/>
  </si>
  <si>
    <t xml:space="preserve">Suppose the quotes on this note are: </t>
    <phoneticPr fontId="3" type="noConversion"/>
  </si>
  <si>
    <t>In this case, I should be able to make an arbitrage by buying the note and simultaneously selling a synthetic note by replicating with STRIPS:</t>
    <phoneticPr fontId="3" type="noConversion"/>
  </si>
  <si>
    <t>df * (1+r/2)^(2T) = 1</t>
    <phoneticPr fontId="3" type="noConversion"/>
  </si>
  <si>
    <t>r = 2*((1/df)^(1/2T)-1)</t>
    <phoneticPr fontId="3" type="noConversion"/>
  </si>
  <si>
    <t>This is done in Column I.</t>
    <phoneticPr fontId="3" type="noConversion"/>
  </si>
  <si>
    <t>beytm</t>
    <phoneticPr fontId="3" type="noConversion"/>
  </si>
  <si>
    <t>As a quick safety check, the beytm should be greater than the ccytm at every term.</t>
    <phoneticPr fontId="3" type="noConversion"/>
  </si>
  <si>
    <t>4. 8.625% 11/15/2020 Bond:</t>
    <phoneticPr fontId="3" type="noConversion"/>
  </si>
  <si>
    <t>Time (Yrs):</t>
    <phoneticPr fontId="3" type="noConversion"/>
  </si>
  <si>
    <t>Cash Flow:</t>
    <phoneticPr fontId="3" type="noConversion"/>
  </si>
  <si>
    <t>Value the bond relative to the STRIPS using the discount factors:</t>
    <phoneticPr fontId="3" type="noConversion"/>
  </si>
  <si>
    <t>df:</t>
    <phoneticPr fontId="3" type="noConversion"/>
  </si>
  <si>
    <t>PV:</t>
    <phoneticPr fontId="3" type="noConversion"/>
  </si>
  <si>
    <t>We see the bond quoted:</t>
    <phoneticPr fontId="3" type="noConversion"/>
  </si>
  <si>
    <t>bid</t>
    <phoneticPr fontId="3" type="noConversion"/>
  </si>
  <si>
    <t>ask</t>
    <phoneticPr fontId="3" type="noConversion"/>
  </si>
  <si>
    <t>It appears that we should be able to make arbitrage by buying the bond  and simultaneously selling a synthetic replica of the bond constructed with STRIPS:</t>
    <phoneticPr fontId="3" type="noConversion"/>
  </si>
  <si>
    <t xml:space="preserve">    Replicate the cash flows using STRIPS:</t>
    <phoneticPr fontId="3" type="noConversion"/>
  </si>
  <si>
    <t>STRIPS Par:</t>
    <phoneticPr fontId="3" type="noConversion"/>
  </si>
  <si>
    <t>Price to Sell:</t>
    <phoneticPr fontId="3" type="noConversion"/>
  </si>
  <si>
    <t>Buy the bond:</t>
    <phoneticPr fontId="3" type="noConversion"/>
  </si>
  <si>
    <t>Total Cash Flow:</t>
    <phoneticPr fontId="3" type="noConversion"/>
  </si>
  <si>
    <t>For every $100 par that we do this trade, we make this amount immediately, and the long position pays off the short position over the life of the trade.</t>
    <phoneticPr fontId="3" type="noConversion"/>
  </si>
  <si>
    <t>Date</t>
    <phoneticPr fontId="3" type="noConversion"/>
  </si>
  <si>
    <t>T (Years)</t>
    <phoneticPr fontId="3" type="noConversion"/>
  </si>
  <si>
    <t>Settlement Date:</t>
    <phoneticPr fontId="3" type="noConversion"/>
  </si>
  <si>
    <t>Time (YRS):</t>
  </si>
  <si>
    <t>&lt;-- This is the formula that relates the current price to the future cash flow via the continuously compounded ytm.</t>
  </si>
  <si>
    <t xml:space="preserve">    This is the timeline for the bond using the midpoint of the bid-ask spread as the current value.</t>
  </si>
  <si>
    <t xml:space="preserve">    This is the timeline for the note using the midpoint of the bid-ask spread as the current value.</t>
  </si>
  <si>
    <t xml:space="preserve">  Here I compute the discount factors for the 6-month horizon for the bond.</t>
  </si>
  <si>
    <t xml:space="preserve">  Here I compute the discount factors for the 6-month horizon for the note.</t>
  </si>
  <si>
    <t xml:space="preserve">   &lt;-- This is arbitrary, but some multiple of $1 million is standard.</t>
  </si>
  <si>
    <t xml:space="preserve">  &lt;-- This is the timeline for 100 million par value of the note.  We have to buy at the ask quote.</t>
  </si>
  <si>
    <t>Sell Bond:</t>
  </si>
  <si>
    <t xml:space="preserve">  bonds are equivalent to 1 note.</t>
  </si>
  <si>
    <t>This is the key:  I want a position that is worth 101,500,000 in 6 months</t>
  </si>
  <si>
    <t xml:space="preserve">     So I simply can divide that by the bond's cash flow in 6 months.</t>
  </si>
  <si>
    <t xml:space="preserve">        of the bonds I want to short.</t>
  </si>
  <si>
    <t xml:space="preserve">  &lt;-- This may be a more intuitive way to solve for the par value</t>
  </si>
  <si>
    <t xml:space="preserve">   (There are many ways to do this.)</t>
  </si>
  <si>
    <t>Put the value from selling this many bonds in Cell c148  -- we sell the bonds at the bid quote.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</si>
</sst>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Verdana"/>
    </font>
    <font>
      <b/>
      <sz val="10"/>
      <name val="Verdana"/>
      <family val="2"/>
    </font>
    <font>
      <b/>
      <sz val="10"/>
      <name val="Verdana"/>
      <family val="2"/>
    </font>
    <font>
      <sz val="8"/>
      <name val="Verdana"/>
      <family val="2"/>
    </font>
    <font>
      <u/>
      <sz val="10"/>
      <name val="Verdana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0" xfId="0" applyFont="1"/>
    <xf numFmtId="4" fontId="0" fillId="0" borderId="0" xfId="0" applyNumberFormat="1"/>
    <xf numFmtId="10" fontId="0" fillId="0" borderId="0" xfId="0" applyNumberFormat="1"/>
    <xf numFmtId="9" fontId="0" fillId="0" borderId="0" xfId="0" applyNumberFormat="1"/>
    <xf numFmtId="3" fontId="0" fillId="0" borderId="0" xfId="0" applyNumberFormat="1"/>
    <xf numFmtId="0" fontId="1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1:O155"/>
  <sheetViews>
    <sheetView tabSelected="1" topLeftCell="A116" workbookViewId="0">
      <selection activeCell="A125" sqref="A125"/>
    </sheetView>
  </sheetViews>
  <sheetFormatPr defaultColWidth="11" defaultRowHeight="12.75" x14ac:dyDescent="0.2"/>
  <cols>
    <col min="1" max="1" width="13" customWidth="1"/>
    <col min="2" max="2" width="16.75" customWidth="1"/>
    <col min="3" max="3" width="14.5" customWidth="1"/>
    <col min="4" max="4" width="15.375" customWidth="1"/>
    <col min="11" max="11" width="12.75" bestFit="1" customWidth="1"/>
  </cols>
  <sheetData>
    <row r="1" spans="1:9" x14ac:dyDescent="0.2">
      <c r="A1" t="s">
        <v>87</v>
      </c>
      <c r="C1" s="1">
        <v>42138</v>
      </c>
      <c r="D1" t="s">
        <v>18</v>
      </c>
    </row>
    <row r="2" spans="1:9" x14ac:dyDescent="0.2">
      <c r="B2" t="s">
        <v>85</v>
      </c>
      <c r="C2" t="s">
        <v>86</v>
      </c>
      <c r="D2" t="s">
        <v>19</v>
      </c>
      <c r="E2" t="s">
        <v>20</v>
      </c>
      <c r="G2" s="2" t="s">
        <v>27</v>
      </c>
      <c r="H2" s="3" t="s">
        <v>33</v>
      </c>
      <c r="I2" s="3" t="s">
        <v>67</v>
      </c>
    </row>
    <row r="3" spans="1:9" x14ac:dyDescent="0.2">
      <c r="B3" s="1">
        <v>42230</v>
      </c>
      <c r="C3">
        <v>0.25</v>
      </c>
      <c r="D3">
        <v>99.428200000000004</v>
      </c>
      <c r="E3">
        <v>99.459199999999996</v>
      </c>
      <c r="G3">
        <f>0.005*(D3+E3)</f>
        <v>0.99443700000000013</v>
      </c>
      <c r="H3">
        <f>LN(1/G3)/C3</f>
        <v>2.2314124443981186E-2</v>
      </c>
      <c r="I3">
        <f>2*((1/G3)^(1/(2*C3))-1)</f>
        <v>2.2439068719407373E-2</v>
      </c>
    </row>
    <row r="4" spans="1:9" x14ac:dyDescent="0.2">
      <c r="B4" s="1">
        <v>42322</v>
      </c>
      <c r="C4">
        <v>0.5</v>
      </c>
      <c r="D4">
        <v>98.828699999999998</v>
      </c>
      <c r="E4">
        <v>98.860699999999994</v>
      </c>
      <c r="G4">
        <f t="shared" ref="G4:G18" si="0">0.005*(D4+E4)</f>
        <v>0.98844699999999996</v>
      </c>
      <c r="H4">
        <f t="shared" ref="H4:H18" si="1">LN(1/G4)/C4</f>
        <v>2.32405087993608E-2</v>
      </c>
      <c r="I4">
        <f t="shared" ref="I4:I18" si="2">2*((1/G4)^(1/(2*C4))-1)</f>
        <v>2.3376063663504532E-2</v>
      </c>
    </row>
    <row r="5" spans="1:9" x14ac:dyDescent="0.2">
      <c r="B5" s="1">
        <v>42414</v>
      </c>
      <c r="C5">
        <v>0.75</v>
      </c>
      <c r="D5">
        <v>98.207999999999998</v>
      </c>
      <c r="E5">
        <v>98.24</v>
      </c>
      <c r="G5">
        <f t="shared" si="0"/>
        <v>0.98223999999999989</v>
      </c>
      <c r="H5">
        <f t="shared" si="1"/>
        <v>2.3892801737267846E-2</v>
      </c>
      <c r="I5">
        <f t="shared" si="2"/>
        <v>2.4036088248526877E-2</v>
      </c>
    </row>
    <row r="6" spans="1:9" x14ac:dyDescent="0.2">
      <c r="B6" s="1">
        <v>42504</v>
      </c>
      <c r="C6">
        <v>1</v>
      </c>
      <c r="D6">
        <v>97.589500000000001</v>
      </c>
      <c r="E6">
        <v>97.622</v>
      </c>
      <c r="G6">
        <f t="shared" si="0"/>
        <v>0.97605750000000002</v>
      </c>
      <c r="H6">
        <f t="shared" si="1"/>
        <v>2.4233780369976005E-2</v>
      </c>
      <c r="I6">
        <f t="shared" si="2"/>
        <v>2.4381194195090661E-2</v>
      </c>
    </row>
    <row r="7" spans="1:9" x14ac:dyDescent="0.2">
      <c r="B7" s="1">
        <v>42596</v>
      </c>
      <c r="C7">
        <v>1.25</v>
      </c>
      <c r="D7">
        <v>96.942599999999999</v>
      </c>
      <c r="E7">
        <v>96.9756</v>
      </c>
      <c r="G7">
        <f t="shared" si="0"/>
        <v>0.96959100000000009</v>
      </c>
      <c r="H7">
        <f t="shared" si="1"/>
        <v>2.4704756710707577E-2</v>
      </c>
      <c r="I7">
        <f t="shared" si="2"/>
        <v>2.485796815374508E-2</v>
      </c>
    </row>
    <row r="8" spans="1:9" x14ac:dyDescent="0.2">
      <c r="B8" s="1">
        <v>42688</v>
      </c>
      <c r="C8">
        <v>1.5</v>
      </c>
      <c r="D8">
        <v>96.237099999999998</v>
      </c>
      <c r="E8">
        <v>96.270399999999995</v>
      </c>
      <c r="G8">
        <f t="shared" si="0"/>
        <v>0.96253749999999993</v>
      </c>
      <c r="H8">
        <f t="shared" si="1"/>
        <v>2.5454835026798878E-2</v>
      </c>
      <c r="I8">
        <f t="shared" si="2"/>
        <v>2.5617511601648157E-2</v>
      </c>
    </row>
    <row r="9" spans="1:9" x14ac:dyDescent="0.2">
      <c r="B9" s="1">
        <v>42780</v>
      </c>
      <c r="C9">
        <v>1.75</v>
      </c>
      <c r="D9">
        <v>95.519900000000007</v>
      </c>
      <c r="E9">
        <v>95.553899999999999</v>
      </c>
      <c r="G9">
        <f t="shared" si="0"/>
        <v>0.95536900000000002</v>
      </c>
      <c r="H9">
        <f t="shared" si="1"/>
        <v>2.6090071825859127E-2</v>
      </c>
      <c r="I9">
        <f t="shared" si="2"/>
        <v>2.6260987178174933E-2</v>
      </c>
    </row>
    <row r="10" spans="1:9" x14ac:dyDescent="0.2">
      <c r="B10" s="1">
        <v>42869</v>
      </c>
      <c r="C10">
        <v>2</v>
      </c>
      <c r="D10">
        <v>94.819000000000003</v>
      </c>
      <c r="E10">
        <v>94.853099999999998</v>
      </c>
      <c r="G10">
        <f t="shared" si="0"/>
        <v>0.94836050000000005</v>
      </c>
      <c r="H10">
        <f t="shared" si="1"/>
        <v>2.6510287375721843E-2</v>
      </c>
      <c r="I10">
        <f t="shared" si="2"/>
        <v>2.6686765093680176E-2</v>
      </c>
    </row>
    <row r="11" spans="1:9" x14ac:dyDescent="0.2">
      <c r="B11" s="1">
        <v>42961</v>
      </c>
      <c r="C11">
        <v>2.25</v>
      </c>
      <c r="D11">
        <v>94.079400000000007</v>
      </c>
      <c r="E11">
        <v>94.110399999999998</v>
      </c>
      <c r="G11">
        <f t="shared" si="0"/>
        <v>0.94094899999999992</v>
      </c>
      <c r="H11">
        <f t="shared" si="1"/>
        <v>2.7051706012251282E-2</v>
      </c>
      <c r="I11">
        <f t="shared" si="2"/>
        <v>2.7235482354281526E-2</v>
      </c>
    </row>
    <row r="12" spans="1:9" x14ac:dyDescent="0.2">
      <c r="B12" s="1">
        <v>43053</v>
      </c>
      <c r="C12">
        <v>2.5</v>
      </c>
      <c r="D12">
        <v>93.345399999999998</v>
      </c>
      <c r="E12">
        <v>93.389399999999995</v>
      </c>
      <c r="G12">
        <f t="shared" si="0"/>
        <v>0.933674</v>
      </c>
      <c r="H12">
        <f t="shared" si="1"/>
        <v>2.7451175233298774E-2</v>
      </c>
      <c r="I12">
        <f t="shared" si="2"/>
        <v>2.7640431883661609E-2</v>
      </c>
    </row>
    <row r="13" spans="1:9" x14ac:dyDescent="0.2">
      <c r="B13" s="1">
        <v>43145</v>
      </c>
      <c r="C13">
        <v>2.75</v>
      </c>
      <c r="D13">
        <v>92.6751</v>
      </c>
      <c r="E13">
        <v>92.724100000000007</v>
      </c>
      <c r="G13">
        <f t="shared" si="0"/>
        <v>0.92699600000000004</v>
      </c>
      <c r="H13">
        <f t="shared" si="1"/>
        <v>2.7565828516435499E-2</v>
      </c>
      <c r="I13">
        <f t="shared" si="2"/>
        <v>2.775667303175533E-2</v>
      </c>
    </row>
    <row r="14" spans="1:9" x14ac:dyDescent="0.2">
      <c r="B14" s="1">
        <v>43234</v>
      </c>
      <c r="C14">
        <v>3</v>
      </c>
      <c r="D14">
        <v>91.915499999999994</v>
      </c>
      <c r="E14">
        <v>91.965500000000006</v>
      </c>
      <c r="G14">
        <f t="shared" si="0"/>
        <v>0.91940500000000003</v>
      </c>
      <c r="H14">
        <f t="shared" si="1"/>
        <v>2.8009519098483978E-2</v>
      </c>
      <c r="I14">
        <f t="shared" si="2"/>
        <v>2.820657120306036E-2</v>
      </c>
    </row>
    <row r="15" spans="1:9" x14ac:dyDescent="0.2">
      <c r="B15" s="1">
        <v>43326</v>
      </c>
      <c r="C15">
        <v>3.25</v>
      </c>
      <c r="D15">
        <v>91.207499999999996</v>
      </c>
      <c r="E15">
        <v>91.257499999999993</v>
      </c>
      <c r="G15">
        <f t="shared" si="0"/>
        <v>0.91232499999999994</v>
      </c>
      <c r="H15">
        <f t="shared" si="1"/>
        <v>2.8233536227600518E-2</v>
      </c>
      <c r="I15">
        <f t="shared" si="2"/>
        <v>2.8433760433060673E-2</v>
      </c>
    </row>
    <row r="16" spans="1:9" x14ac:dyDescent="0.2">
      <c r="B16" s="1">
        <v>43418</v>
      </c>
      <c r="C16">
        <v>3.5</v>
      </c>
      <c r="D16">
        <v>90.337400000000002</v>
      </c>
      <c r="E16">
        <v>90.377399999999994</v>
      </c>
      <c r="G16">
        <f t="shared" si="0"/>
        <v>0.90357399999999999</v>
      </c>
      <c r="H16">
        <f t="shared" si="1"/>
        <v>2.8970648170278956E-2</v>
      </c>
      <c r="I16">
        <f t="shared" si="2"/>
        <v>2.9181489589493292E-2</v>
      </c>
    </row>
    <row r="17" spans="1:9" x14ac:dyDescent="0.2">
      <c r="B17" s="1">
        <v>43510</v>
      </c>
      <c r="C17">
        <v>3.75</v>
      </c>
      <c r="D17">
        <v>89.343199999999996</v>
      </c>
      <c r="E17">
        <v>89.384200000000007</v>
      </c>
      <c r="G17">
        <f t="shared" si="0"/>
        <v>0.89363700000000001</v>
      </c>
      <c r="H17">
        <f t="shared" si="1"/>
        <v>2.9988167075666754E-2</v>
      </c>
      <c r="I17">
        <f t="shared" si="2"/>
        <v>3.0214117510888094E-2</v>
      </c>
    </row>
    <row r="18" spans="1:9" x14ac:dyDescent="0.2">
      <c r="B18" s="1">
        <v>43599</v>
      </c>
      <c r="C18">
        <v>4</v>
      </c>
      <c r="D18">
        <v>88.337999999999994</v>
      </c>
      <c r="E18">
        <v>88.378</v>
      </c>
      <c r="G18">
        <f t="shared" si="0"/>
        <v>0.88358000000000003</v>
      </c>
      <c r="H18">
        <f t="shared" si="1"/>
        <v>3.0943360592166777E-2</v>
      </c>
      <c r="I18">
        <f t="shared" si="2"/>
        <v>3.1183972773394242E-2</v>
      </c>
    </row>
    <row r="21" spans="1:9" x14ac:dyDescent="0.2">
      <c r="A21" t="s">
        <v>21</v>
      </c>
    </row>
    <row r="22" spans="1:9" x14ac:dyDescent="0.2">
      <c r="A22" t="s">
        <v>22</v>
      </c>
      <c r="B22" t="s">
        <v>23</v>
      </c>
    </row>
    <row r="23" spans="1:9" x14ac:dyDescent="0.2">
      <c r="B23" t="s">
        <v>24</v>
      </c>
    </row>
    <row r="24" spans="1:9" x14ac:dyDescent="0.2">
      <c r="B24" t="s">
        <v>25</v>
      </c>
    </row>
    <row r="25" spans="1:9" x14ac:dyDescent="0.2">
      <c r="B25" s="9" t="s">
        <v>4</v>
      </c>
    </row>
    <row r="28" spans="1:9" x14ac:dyDescent="0.2">
      <c r="A28" t="s">
        <v>28</v>
      </c>
    </row>
    <row r="29" spans="1:9" x14ac:dyDescent="0.2">
      <c r="B29" t="s">
        <v>29</v>
      </c>
      <c r="F29" t="s">
        <v>31</v>
      </c>
    </row>
    <row r="30" spans="1:9" x14ac:dyDescent="0.2">
      <c r="B30" t="s">
        <v>30</v>
      </c>
      <c r="C30" t="s">
        <v>32</v>
      </c>
    </row>
    <row r="31" spans="1:9" x14ac:dyDescent="0.2">
      <c r="B31" s="9" t="s">
        <v>5</v>
      </c>
    </row>
    <row r="33" spans="1:8" x14ac:dyDescent="0.2">
      <c r="A33" t="s">
        <v>34</v>
      </c>
    </row>
    <row r="34" spans="1:8" x14ac:dyDescent="0.2">
      <c r="B34" t="s">
        <v>29</v>
      </c>
      <c r="F34" t="s">
        <v>64</v>
      </c>
    </row>
    <row r="35" spans="1:8" x14ac:dyDescent="0.2">
      <c r="B35" t="s">
        <v>30</v>
      </c>
      <c r="C35" t="s">
        <v>65</v>
      </c>
    </row>
    <row r="36" spans="1:8" x14ac:dyDescent="0.2">
      <c r="B36" t="s">
        <v>66</v>
      </c>
    </row>
    <row r="37" spans="1:8" x14ac:dyDescent="0.2">
      <c r="B37" t="s">
        <v>68</v>
      </c>
      <c r="H37" s="9" t="s">
        <v>3</v>
      </c>
    </row>
    <row r="40" spans="1:8" x14ac:dyDescent="0.2">
      <c r="A40" t="s">
        <v>69</v>
      </c>
      <c r="C40">
        <v>8.6249999999999993E-2</v>
      </c>
    </row>
    <row r="41" spans="1:8" x14ac:dyDescent="0.2">
      <c r="B41" t="s">
        <v>70</v>
      </c>
      <c r="C41">
        <v>0.5</v>
      </c>
      <c r="D41">
        <v>1</v>
      </c>
      <c r="E41">
        <v>1.5</v>
      </c>
    </row>
    <row r="42" spans="1:8" x14ac:dyDescent="0.2">
      <c r="B42" t="s">
        <v>71</v>
      </c>
      <c r="C42">
        <f>50*C40</f>
        <v>4.3125</v>
      </c>
      <c r="D42">
        <f>50*C40</f>
        <v>4.3125</v>
      </c>
      <c r="E42">
        <f>100*(1+C40/2)</f>
        <v>104.31250000000001</v>
      </c>
    </row>
    <row r="44" spans="1:8" x14ac:dyDescent="0.2">
      <c r="A44" t="s">
        <v>72</v>
      </c>
    </row>
    <row r="45" spans="1:8" x14ac:dyDescent="0.2">
      <c r="B45" t="s">
        <v>73</v>
      </c>
      <c r="C45">
        <f>G4</f>
        <v>0.98844699999999996</v>
      </c>
      <c r="D45">
        <f>G6</f>
        <v>0.97605750000000002</v>
      </c>
      <c r="E45">
        <f>G8</f>
        <v>0.96253749999999993</v>
      </c>
    </row>
    <row r="46" spans="1:8" x14ac:dyDescent="0.2">
      <c r="B46" t="s">
        <v>74</v>
      </c>
      <c r="C46">
        <f>C42*C45</f>
        <v>4.2626776875000001</v>
      </c>
      <c r="D46">
        <f t="shared" ref="D46:E46" si="3">D42*D45</f>
        <v>4.2092479687499997</v>
      </c>
      <c r="E46">
        <f t="shared" si="3"/>
        <v>100.40469296875001</v>
      </c>
    </row>
    <row r="47" spans="1:8" x14ac:dyDescent="0.2">
      <c r="B47" s="4">
        <f>SUM(C46:E46)</f>
        <v>108.87661862500002</v>
      </c>
    </row>
    <row r="50" spans="1:6" x14ac:dyDescent="0.2">
      <c r="A50" t="s">
        <v>75</v>
      </c>
      <c r="C50">
        <f>108+1.5/32</f>
        <v>108.046875</v>
      </c>
      <c r="D50" t="s">
        <v>76</v>
      </c>
      <c r="E50">
        <f>108+2/32</f>
        <v>108.0625</v>
      </c>
      <c r="F50" t="s">
        <v>77</v>
      </c>
    </row>
    <row r="52" spans="1:6" x14ac:dyDescent="0.2">
      <c r="A52" t="s">
        <v>78</v>
      </c>
    </row>
    <row r="54" spans="1:6" x14ac:dyDescent="0.2">
      <c r="A54" t="s">
        <v>79</v>
      </c>
    </row>
    <row r="55" spans="1:6" x14ac:dyDescent="0.2">
      <c r="B55" t="s">
        <v>70</v>
      </c>
      <c r="C55">
        <v>0.5</v>
      </c>
      <c r="D55">
        <v>1</v>
      </c>
      <c r="E55">
        <v>1.5</v>
      </c>
    </row>
    <row r="56" spans="1:6" x14ac:dyDescent="0.2">
      <c r="B56" t="s">
        <v>80</v>
      </c>
      <c r="C56">
        <f>C42</f>
        <v>4.3125</v>
      </c>
      <c r="D56">
        <f t="shared" ref="D56:E56" si="4">D42</f>
        <v>4.3125</v>
      </c>
      <c r="E56">
        <f t="shared" si="4"/>
        <v>104.31250000000001</v>
      </c>
    </row>
    <row r="57" spans="1:6" x14ac:dyDescent="0.2">
      <c r="B57" t="s">
        <v>81</v>
      </c>
      <c r="C57">
        <f>C56*D4/100</f>
        <v>4.2619876874999996</v>
      </c>
      <c r="D57">
        <f>D56*D6/100</f>
        <v>4.2085471874999998</v>
      </c>
      <c r="E57">
        <f>E56*D8/100</f>
        <v>100.38732493750001</v>
      </c>
    </row>
    <row r="58" spans="1:6" x14ac:dyDescent="0.2">
      <c r="B58">
        <f>SUM(C57:E57)</f>
        <v>108.85785981250001</v>
      </c>
      <c r="C58">
        <f>-C56</f>
        <v>-4.3125</v>
      </c>
      <c r="D58">
        <f t="shared" ref="D58:E58" si="5">-D56</f>
        <v>-4.3125</v>
      </c>
      <c r="E58">
        <f t="shared" si="5"/>
        <v>-104.31250000000001</v>
      </c>
    </row>
    <row r="60" spans="1:6" x14ac:dyDescent="0.2">
      <c r="B60" t="s">
        <v>82</v>
      </c>
    </row>
    <row r="61" spans="1:6" x14ac:dyDescent="0.2">
      <c r="B61">
        <f>-E50</f>
        <v>-108.0625</v>
      </c>
      <c r="C61">
        <f>C42</f>
        <v>4.3125</v>
      </c>
      <c r="D61">
        <f t="shared" ref="D61:E61" si="6">D42</f>
        <v>4.3125</v>
      </c>
      <c r="E61">
        <f t="shared" si="6"/>
        <v>104.31250000000001</v>
      </c>
    </row>
    <row r="63" spans="1:6" x14ac:dyDescent="0.2">
      <c r="A63" t="s">
        <v>83</v>
      </c>
      <c r="B63">
        <f>B58+B61</f>
        <v>0.79535981250000987</v>
      </c>
      <c r="C63">
        <f t="shared" ref="C63:E63" si="7">C58+C61</f>
        <v>0</v>
      </c>
      <c r="D63">
        <f t="shared" si="7"/>
        <v>0</v>
      </c>
      <c r="E63">
        <f t="shared" si="7"/>
        <v>0</v>
      </c>
    </row>
    <row r="65" spans="1:7" x14ac:dyDescent="0.2">
      <c r="B65" t="s">
        <v>84</v>
      </c>
    </row>
    <row r="66" spans="1:7" x14ac:dyDescent="0.2">
      <c r="B66" t="s">
        <v>52</v>
      </c>
      <c r="F66" s="5">
        <f>100000000/100*B63</f>
        <v>795359.8125000099</v>
      </c>
    </row>
    <row r="69" spans="1:7" x14ac:dyDescent="0.2">
      <c r="A69" t="s">
        <v>54</v>
      </c>
      <c r="D69">
        <f>109+19/32</f>
        <v>109.59375</v>
      </c>
      <c r="E69" t="s">
        <v>76</v>
      </c>
      <c r="F69">
        <f>109+19.5/32</f>
        <v>109.609375</v>
      </c>
      <c r="G69" t="s">
        <v>77</v>
      </c>
    </row>
    <row r="71" spans="1:7" x14ac:dyDescent="0.2">
      <c r="A71" t="s">
        <v>53</v>
      </c>
    </row>
    <row r="72" spans="1:7" x14ac:dyDescent="0.2">
      <c r="B72" t="s">
        <v>55</v>
      </c>
    </row>
    <row r="73" spans="1:7" x14ac:dyDescent="0.2">
      <c r="B73" t="s">
        <v>70</v>
      </c>
      <c r="C73">
        <v>0.5</v>
      </c>
      <c r="D73">
        <v>1</v>
      </c>
      <c r="E73">
        <v>1.5</v>
      </c>
    </row>
    <row r="74" spans="1:7" x14ac:dyDescent="0.2">
      <c r="B74" t="s">
        <v>80</v>
      </c>
      <c r="C74">
        <f>C42</f>
        <v>4.3125</v>
      </c>
      <c r="D74">
        <f t="shared" ref="D74:E74" si="8">D42</f>
        <v>4.3125</v>
      </c>
      <c r="E74">
        <f t="shared" si="8"/>
        <v>104.31250000000001</v>
      </c>
    </row>
    <row r="75" spans="1:7" x14ac:dyDescent="0.2">
      <c r="B75" t="s">
        <v>56</v>
      </c>
      <c r="C75">
        <f>E4/100*C74</f>
        <v>4.2633676874999997</v>
      </c>
      <c r="D75">
        <f>E6/100*D74</f>
        <v>4.2099487499999997</v>
      </c>
      <c r="E75">
        <f>E8/100*E74</f>
        <v>100.42206100000001</v>
      </c>
    </row>
    <row r="76" spans="1:7" x14ac:dyDescent="0.2">
      <c r="B76">
        <f>-SUM(C75:E75)</f>
        <v>-108.89537743750002</v>
      </c>
      <c r="C76">
        <f>C74</f>
        <v>4.3125</v>
      </c>
      <c r="D76">
        <f>D74</f>
        <v>4.3125</v>
      </c>
      <c r="E76">
        <f>E74</f>
        <v>104.31250000000001</v>
      </c>
    </row>
    <row r="78" spans="1:7" x14ac:dyDescent="0.2">
      <c r="B78" t="s">
        <v>57</v>
      </c>
    </row>
    <row r="79" spans="1:7" x14ac:dyDescent="0.2">
      <c r="B79">
        <f>D69</f>
        <v>109.59375</v>
      </c>
      <c r="C79">
        <f>-C42</f>
        <v>-4.3125</v>
      </c>
      <c r="D79">
        <f t="shared" ref="D79:E79" si="9">-D42</f>
        <v>-4.3125</v>
      </c>
      <c r="E79">
        <f t="shared" si="9"/>
        <v>-104.31250000000001</v>
      </c>
    </row>
    <row r="81" spans="1:8" x14ac:dyDescent="0.2">
      <c r="A81" t="s">
        <v>83</v>
      </c>
      <c r="B81">
        <f>B76+B79</f>
        <v>0.69837256249998347</v>
      </c>
      <c r="C81">
        <f t="shared" ref="C81:E81" si="10">C76+C79</f>
        <v>0</v>
      </c>
      <c r="D81">
        <f t="shared" si="10"/>
        <v>0</v>
      </c>
      <c r="E81">
        <f t="shared" si="10"/>
        <v>0</v>
      </c>
    </row>
    <row r="83" spans="1:8" x14ac:dyDescent="0.2">
      <c r="B83" t="s">
        <v>84</v>
      </c>
    </row>
    <row r="84" spans="1:8" x14ac:dyDescent="0.2">
      <c r="B84" t="s">
        <v>52</v>
      </c>
      <c r="F84" s="5">
        <f>100000000/100*B81</f>
        <v>698372.56249998347</v>
      </c>
    </row>
    <row r="87" spans="1:8" x14ac:dyDescent="0.2">
      <c r="A87" t="s">
        <v>58</v>
      </c>
      <c r="C87">
        <v>7.2499999999999995E-2</v>
      </c>
    </row>
    <row r="88" spans="1:8" x14ac:dyDescent="0.2">
      <c r="B88" t="s">
        <v>70</v>
      </c>
      <c r="C88">
        <v>0.25</v>
      </c>
      <c r="D88">
        <v>0.75</v>
      </c>
    </row>
    <row r="89" spans="1:8" x14ac:dyDescent="0.2">
      <c r="B89" t="s">
        <v>59</v>
      </c>
      <c r="C89">
        <f>50*C87</f>
        <v>3.6249999999999996</v>
      </c>
      <c r="D89">
        <f>100*(1+C87/2)</f>
        <v>103.62499999999999</v>
      </c>
    </row>
    <row r="90" spans="1:8" x14ac:dyDescent="0.2">
      <c r="B90" t="s">
        <v>26</v>
      </c>
      <c r="C90">
        <f>G3</f>
        <v>0.99443700000000013</v>
      </c>
      <c r="D90">
        <f>G5</f>
        <v>0.98223999999999989</v>
      </c>
    </row>
    <row r="91" spans="1:8" x14ac:dyDescent="0.2">
      <c r="B91" t="s">
        <v>74</v>
      </c>
      <c r="C91">
        <f>C89*C90</f>
        <v>3.604834125</v>
      </c>
      <c r="D91">
        <f>D89*D90</f>
        <v>101.78461999999998</v>
      </c>
    </row>
    <row r="92" spans="1:8" x14ac:dyDescent="0.2">
      <c r="B92" s="4">
        <f>SUM(C91:D91)</f>
        <v>105.38945412499997</v>
      </c>
    </row>
    <row r="95" spans="1:8" x14ac:dyDescent="0.2">
      <c r="A95" t="s">
        <v>60</v>
      </c>
      <c r="C95">
        <v>2.6249999999999999E-2</v>
      </c>
    </row>
    <row r="96" spans="1:8" x14ac:dyDescent="0.2">
      <c r="B96" t="s">
        <v>70</v>
      </c>
      <c r="C96">
        <v>0.5</v>
      </c>
      <c r="D96">
        <v>1</v>
      </c>
      <c r="E96">
        <v>1.5</v>
      </c>
      <c r="F96">
        <v>2</v>
      </c>
      <c r="G96">
        <v>2.5</v>
      </c>
      <c r="H96">
        <v>3</v>
      </c>
    </row>
    <row r="97" spans="1:8" x14ac:dyDescent="0.2">
      <c r="B97" t="s">
        <v>61</v>
      </c>
      <c r="C97">
        <f>50*$C$95</f>
        <v>1.3125</v>
      </c>
      <c r="D97">
        <f t="shared" ref="D97:G97" si="11">50*$C$95</f>
        <v>1.3125</v>
      </c>
      <c r="E97">
        <f t="shared" si="11"/>
        <v>1.3125</v>
      </c>
      <c r="F97">
        <f t="shared" si="11"/>
        <v>1.3125</v>
      </c>
      <c r="G97">
        <f t="shared" si="11"/>
        <v>1.3125</v>
      </c>
      <c r="H97">
        <f>100*(1+C95/2)</f>
        <v>101.3125</v>
      </c>
    </row>
    <row r="98" spans="1:8" x14ac:dyDescent="0.2">
      <c r="B98" t="s">
        <v>73</v>
      </c>
      <c r="C98">
        <f>G4</f>
        <v>0.98844699999999996</v>
      </c>
      <c r="D98">
        <f>G6</f>
        <v>0.97605750000000002</v>
      </c>
      <c r="E98">
        <f>G8</f>
        <v>0.96253749999999993</v>
      </c>
      <c r="F98">
        <f>G10</f>
        <v>0.94836050000000005</v>
      </c>
      <c r="G98">
        <f>G12</f>
        <v>0.933674</v>
      </c>
      <c r="H98">
        <f>G14</f>
        <v>0.91940500000000003</v>
      </c>
    </row>
    <row r="99" spans="1:8" x14ac:dyDescent="0.2">
      <c r="B99" t="s">
        <v>74</v>
      </c>
      <c r="C99">
        <f>C97*C98</f>
        <v>1.2973366874999999</v>
      </c>
      <c r="D99">
        <f t="shared" ref="D99:H99" si="12">D97*D98</f>
        <v>1.2810754687500001</v>
      </c>
      <c r="E99">
        <f t="shared" si="12"/>
        <v>1.26333046875</v>
      </c>
      <c r="F99">
        <f t="shared" si="12"/>
        <v>1.2447231562500001</v>
      </c>
      <c r="G99">
        <f t="shared" si="12"/>
        <v>1.2254471250000001</v>
      </c>
      <c r="H99">
        <f t="shared" si="12"/>
        <v>93.1472190625</v>
      </c>
    </row>
    <row r="100" spans="1:8" x14ac:dyDescent="0.2">
      <c r="B100" s="4">
        <f>SUM(C99:H99)</f>
        <v>99.45913196875</v>
      </c>
    </row>
    <row r="103" spans="1:8" x14ac:dyDescent="0.2">
      <c r="A103" t="s">
        <v>62</v>
      </c>
      <c r="D103">
        <v>98.5</v>
      </c>
      <c r="E103" t="s">
        <v>76</v>
      </c>
      <c r="F103">
        <f>98+17.5/32</f>
        <v>98.546875</v>
      </c>
    </row>
    <row r="104" spans="1:8" x14ac:dyDescent="0.2">
      <c r="A104" t="s">
        <v>63</v>
      </c>
    </row>
    <row r="105" spans="1:8" x14ac:dyDescent="0.2">
      <c r="A105" t="s">
        <v>48</v>
      </c>
    </row>
    <row r="106" spans="1:8" x14ac:dyDescent="0.2">
      <c r="B106" t="s">
        <v>70</v>
      </c>
      <c r="C106">
        <v>0.5</v>
      </c>
      <c r="D106">
        <v>1</v>
      </c>
      <c r="E106">
        <v>1.5</v>
      </c>
      <c r="F106">
        <v>2</v>
      </c>
      <c r="G106">
        <v>2.5</v>
      </c>
      <c r="H106">
        <v>3</v>
      </c>
    </row>
    <row r="107" spans="1:8" x14ac:dyDescent="0.2">
      <c r="B107" t="s">
        <v>80</v>
      </c>
      <c r="C107">
        <f>C97</f>
        <v>1.3125</v>
      </c>
      <c r="D107">
        <f t="shared" ref="D107:H107" si="13">D97</f>
        <v>1.3125</v>
      </c>
      <c r="E107">
        <f t="shared" si="13"/>
        <v>1.3125</v>
      </c>
      <c r="F107">
        <f t="shared" si="13"/>
        <v>1.3125</v>
      </c>
      <c r="G107">
        <f t="shared" si="13"/>
        <v>1.3125</v>
      </c>
      <c r="H107">
        <f t="shared" si="13"/>
        <v>101.3125</v>
      </c>
    </row>
    <row r="108" spans="1:8" x14ac:dyDescent="0.2">
      <c r="B108" t="s">
        <v>49</v>
      </c>
    </row>
    <row r="109" spans="1:8" x14ac:dyDescent="0.2">
      <c r="B109">
        <f>C107*D4/100</f>
        <v>1.2971266875</v>
      </c>
      <c r="C109">
        <f>-C107</f>
        <v>-1.3125</v>
      </c>
    </row>
    <row r="110" spans="1:8" x14ac:dyDescent="0.2">
      <c r="B110">
        <f>D107*D6/100</f>
        <v>1.2808621874999999</v>
      </c>
      <c r="D110">
        <f>-D107</f>
        <v>-1.3125</v>
      </c>
    </row>
    <row r="111" spans="1:8" x14ac:dyDescent="0.2">
      <c r="B111">
        <f>E107*D8/100</f>
        <v>1.2631119374999999</v>
      </c>
      <c r="E111">
        <f>-E107</f>
        <v>-1.3125</v>
      </c>
    </row>
    <row r="112" spans="1:8" x14ac:dyDescent="0.2">
      <c r="B112">
        <f>F107*D10/100</f>
        <v>1.244499375</v>
      </c>
      <c r="F112">
        <f>-F107</f>
        <v>-1.3125</v>
      </c>
    </row>
    <row r="113" spans="1:8" x14ac:dyDescent="0.2">
      <c r="B113">
        <f>G107*D12/100</f>
        <v>1.2251583750000001</v>
      </c>
      <c r="G113">
        <f>-G107</f>
        <v>-1.3125</v>
      </c>
    </row>
    <row r="114" spans="1:8" x14ac:dyDescent="0.2">
      <c r="B114">
        <f>H107*D14/100</f>
        <v>93.121890937499998</v>
      </c>
      <c r="H114">
        <f>-H107</f>
        <v>-101.3125</v>
      </c>
    </row>
    <row r="116" spans="1:8" x14ac:dyDescent="0.2">
      <c r="A116" t="s">
        <v>50</v>
      </c>
      <c r="B116">
        <f>-F103</f>
        <v>-98.546875</v>
      </c>
      <c r="C116">
        <f>C97</f>
        <v>1.3125</v>
      </c>
      <c r="D116">
        <f t="shared" ref="D116:H116" si="14">D97</f>
        <v>1.3125</v>
      </c>
      <c r="E116">
        <f t="shared" si="14"/>
        <v>1.3125</v>
      </c>
      <c r="F116">
        <f t="shared" si="14"/>
        <v>1.3125</v>
      </c>
      <c r="G116">
        <f t="shared" si="14"/>
        <v>1.3125</v>
      </c>
      <c r="H116">
        <f t="shared" si="14"/>
        <v>101.3125</v>
      </c>
    </row>
    <row r="118" spans="1:8" x14ac:dyDescent="0.2">
      <c r="A118" t="s">
        <v>51</v>
      </c>
      <c r="B118">
        <f>SUM(B109:B116)</f>
        <v>0.88577449999999658</v>
      </c>
      <c r="C118">
        <f t="shared" ref="C118:H118" si="15">SUM(C109:C116)</f>
        <v>0</v>
      </c>
      <c r="D118">
        <f t="shared" si="15"/>
        <v>0</v>
      </c>
      <c r="E118">
        <f t="shared" si="15"/>
        <v>0</v>
      </c>
      <c r="F118">
        <f t="shared" si="15"/>
        <v>0</v>
      </c>
      <c r="G118">
        <f t="shared" si="15"/>
        <v>0</v>
      </c>
      <c r="H118">
        <f t="shared" si="15"/>
        <v>0</v>
      </c>
    </row>
    <row r="120" spans="1:8" x14ac:dyDescent="0.2">
      <c r="B120" t="s">
        <v>84</v>
      </c>
    </row>
    <row r="121" spans="1:8" x14ac:dyDescent="0.2">
      <c r="B121" t="s">
        <v>35</v>
      </c>
      <c r="F121" s="5">
        <f>H121/100*B118</f>
        <v>885774.49999999662</v>
      </c>
      <c r="H121">
        <v>100000000</v>
      </c>
    </row>
    <row r="125" spans="1:8" x14ac:dyDescent="0.2">
      <c r="A125" t="s">
        <v>36</v>
      </c>
    </row>
    <row r="126" spans="1:8" x14ac:dyDescent="0.2">
      <c r="F126" t="s">
        <v>40</v>
      </c>
      <c r="G126" t="s">
        <v>41</v>
      </c>
    </row>
    <row r="127" spans="1:8" x14ac:dyDescent="0.2">
      <c r="A127" t="s">
        <v>37</v>
      </c>
      <c r="B127" s="6">
        <v>0.105</v>
      </c>
      <c r="C127" t="s">
        <v>38</v>
      </c>
      <c r="E127">
        <f>100*(1+B127/2)</f>
        <v>105.25</v>
      </c>
      <c r="F127">
        <v>104.0625</v>
      </c>
      <c r="G127">
        <v>104.09375</v>
      </c>
    </row>
    <row r="128" spans="1:8" x14ac:dyDescent="0.2">
      <c r="A128" t="s">
        <v>39</v>
      </c>
      <c r="B128" s="7">
        <v>0.03</v>
      </c>
      <c r="C128" t="s">
        <v>38</v>
      </c>
      <c r="E128">
        <f>100*(1+B128/2)</f>
        <v>101.49999999999999</v>
      </c>
      <c r="F128">
        <v>100.15625</v>
      </c>
      <c r="G128">
        <v>100.1875</v>
      </c>
    </row>
    <row r="131" spans="1:8" x14ac:dyDescent="0.2">
      <c r="A131" t="s">
        <v>42</v>
      </c>
    </row>
    <row r="132" spans="1:8" x14ac:dyDescent="0.2">
      <c r="C132" t="s">
        <v>43</v>
      </c>
      <c r="E132" t="s">
        <v>47</v>
      </c>
      <c r="F132" t="s">
        <v>46</v>
      </c>
      <c r="H132" s="10" t="s">
        <v>89</v>
      </c>
    </row>
    <row r="133" spans="1:8" x14ac:dyDescent="0.2">
      <c r="B133" s="10" t="s">
        <v>88</v>
      </c>
      <c r="C133">
        <v>0</v>
      </c>
      <c r="D133">
        <v>0.5</v>
      </c>
    </row>
    <row r="134" spans="1:8" x14ac:dyDescent="0.2">
      <c r="B134" t="s">
        <v>44</v>
      </c>
      <c r="C134">
        <f>0.5*(F127+G127)</f>
        <v>104.078125</v>
      </c>
      <c r="D134">
        <f>E127</f>
        <v>105.25</v>
      </c>
      <c r="E134" s="9">
        <f>LN(D134/C134)/D133</f>
        <v>2.2393307017966473E-2</v>
      </c>
      <c r="F134" s="10" t="s">
        <v>90</v>
      </c>
    </row>
    <row r="135" spans="1:8" x14ac:dyDescent="0.2">
      <c r="B135" t="s">
        <v>45</v>
      </c>
      <c r="C135">
        <f>0.5*(F128+G128)</f>
        <v>100.171875</v>
      </c>
      <c r="D135">
        <f>E128</f>
        <v>101.49999999999999</v>
      </c>
      <c r="E135" s="9">
        <f>LN(D135/C135)/D133</f>
        <v>2.6342675708512904E-2</v>
      </c>
      <c r="F135" s="10" t="s">
        <v>91</v>
      </c>
    </row>
    <row r="137" spans="1:8" x14ac:dyDescent="0.2">
      <c r="B137" t="s">
        <v>6</v>
      </c>
    </row>
    <row r="138" spans="1:8" x14ac:dyDescent="0.2">
      <c r="B138" t="s">
        <v>7</v>
      </c>
    </row>
    <row r="139" spans="1:8" x14ac:dyDescent="0.2">
      <c r="B139" t="s">
        <v>8</v>
      </c>
      <c r="D139" t="s">
        <v>44</v>
      </c>
      <c r="E139">
        <f>C134/D134</f>
        <v>0.98886579572446553</v>
      </c>
      <c r="F139" s="10" t="s">
        <v>92</v>
      </c>
    </row>
    <row r="140" spans="1:8" x14ac:dyDescent="0.2">
      <c r="D140" t="s">
        <v>45</v>
      </c>
      <c r="E140">
        <f>C135/D135</f>
        <v>0.98691502463054204</v>
      </c>
      <c r="F140" s="10" t="s">
        <v>93</v>
      </c>
    </row>
    <row r="141" spans="1:8" x14ac:dyDescent="0.2">
      <c r="B141" t="s">
        <v>9</v>
      </c>
    </row>
    <row r="143" spans="1:8" x14ac:dyDescent="0.2">
      <c r="B143" t="s">
        <v>10</v>
      </c>
    </row>
    <row r="144" spans="1:8" x14ac:dyDescent="0.2">
      <c r="B144" t="s">
        <v>11</v>
      </c>
    </row>
    <row r="145" spans="1:15" x14ac:dyDescent="0.2">
      <c r="B145" t="s">
        <v>12</v>
      </c>
      <c r="C145" s="8">
        <v>100000000</v>
      </c>
      <c r="D145" s="10" t="s">
        <v>94</v>
      </c>
    </row>
    <row r="146" spans="1:15" x14ac:dyDescent="0.2">
      <c r="B146" t="s">
        <v>14</v>
      </c>
      <c r="C146">
        <v>0</v>
      </c>
      <c r="D146">
        <v>0.5</v>
      </c>
    </row>
    <row r="147" spans="1:15" x14ac:dyDescent="0.2">
      <c r="B147" t="s">
        <v>13</v>
      </c>
      <c r="C147" s="8">
        <f>-C145*G128/100</f>
        <v>-100187500</v>
      </c>
      <c r="D147" s="8">
        <f>C145*D135/100</f>
        <v>101499999.99999999</v>
      </c>
      <c r="E147" s="10" t="s">
        <v>95</v>
      </c>
    </row>
    <row r="149" spans="1:15" x14ac:dyDescent="0.2">
      <c r="B149" s="10" t="s">
        <v>96</v>
      </c>
      <c r="C149" s="8">
        <f>I151*F127/100</f>
        <v>100354809.97624703</v>
      </c>
      <c r="D149" s="8">
        <f>-D147</f>
        <v>-101499999.99999999</v>
      </c>
      <c r="E149" t="s">
        <v>15</v>
      </c>
    </row>
    <row r="150" spans="1:15" x14ac:dyDescent="0.2">
      <c r="E150" t="s">
        <v>16</v>
      </c>
      <c r="J150">
        <f>D135/D134</f>
        <v>0.96437054631828967</v>
      </c>
      <c r="K150" s="10" t="s">
        <v>97</v>
      </c>
      <c r="N150" s="10" t="s">
        <v>98</v>
      </c>
    </row>
    <row r="151" spans="1:15" x14ac:dyDescent="0.2">
      <c r="E151" t="s">
        <v>17</v>
      </c>
      <c r="I151" s="8">
        <f>J150*C145</f>
        <v>96437054.631828964</v>
      </c>
      <c r="J151" t="s">
        <v>1</v>
      </c>
      <c r="K151" s="8">
        <f>I151*D134/100</f>
        <v>101499999.99999999</v>
      </c>
      <c r="N151" s="10" t="s">
        <v>99</v>
      </c>
    </row>
    <row r="152" spans="1:15" x14ac:dyDescent="0.2">
      <c r="E152" s="10" t="s">
        <v>103</v>
      </c>
      <c r="N152" s="8">
        <f>K151/(E127/100)</f>
        <v>96437054.631828964</v>
      </c>
      <c r="O152" s="10" t="s">
        <v>101</v>
      </c>
    </row>
    <row r="153" spans="1:15" x14ac:dyDescent="0.2">
      <c r="B153" t="s">
        <v>0</v>
      </c>
      <c r="C153" s="8">
        <f>C147+C149</f>
        <v>167309.97624702752</v>
      </c>
      <c r="D153" s="8">
        <f>D147+D149</f>
        <v>0</v>
      </c>
      <c r="O153" s="10" t="s">
        <v>100</v>
      </c>
    </row>
    <row r="154" spans="1:15" x14ac:dyDescent="0.2">
      <c r="O154" s="10" t="s">
        <v>102</v>
      </c>
    </row>
    <row r="155" spans="1:15" x14ac:dyDescent="0.2">
      <c r="A155" t="s">
        <v>2</v>
      </c>
      <c r="D155" s="8"/>
    </row>
  </sheetData>
  <phoneticPr fontId="3" type="noConversion"/>
  <pageMargins left="0.75" right="0.75" top="1" bottom="1" header="0.5" footer="0.5"/>
  <pageSetup paperSize="0" orientation="portrait" horizontalDpi="4294967292" verticalDpi="4294967292"/>
  <ignoredErrors>
    <ignoredError sqref="B118:H118" emptyCellReference="1"/>
  </ignoredErrors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Christopher Lamoureux</cp:lastModifiedBy>
  <dcterms:created xsi:type="dcterms:W3CDTF">2018-10-09T00:01:38Z</dcterms:created>
  <dcterms:modified xsi:type="dcterms:W3CDTF">2018-11-12T17:26:19Z</dcterms:modified>
</cp:coreProperties>
</file>