
<file path=[Content_Types].xml><?xml version="1.0" encoding="utf-8"?>
<Types xmlns="http://schemas.openxmlformats.org/package/2006/content-types">
  <Override PartName="/xl/worksheets/sheet1.xml" ContentType="application/vnd.openxmlformats-officedocument.spreadsheetml.worksheet+xml"/>
  <Override PartName="/xl/workbook.xml" ContentType="application/vnd.openxmlformats-officedocument.spreadsheetml.sheet.main+xml"/>
  <Override PartName="/xl/worksheets/sheet2.xml" ContentType="application/vnd.openxmlformats-officedocument.spreadsheetml.worksheet+xml"/>
  <Override PartName="/docProps/core.xml" ContentType="application/vnd.openxmlformats-package.core-properties+xml"/>
  <Default Extension="xml" ContentType="application/xml"/>
  <Override PartName="/xl/worksheets/sheet3.xml" ContentType="application/vnd.openxmlformats-officedocument.spreadsheetml.worksheet+xml"/>
  <Override PartName="/xl/theme/theme1.xml" ContentType="application/vnd.openxmlformats-officedocument.theme+xml"/>
  <Override PartName="/xl/worksheets/sheet4.xml" ContentType="application/vnd.openxmlformats-officedocument.spreadsheetml.worksheet+xml"/>
  <Override PartName="/xl/charts/chart1.xml" ContentType="application/vnd.openxmlformats-officedocument.drawingml.chart+xml"/>
  <Override PartName="/xl/sharedStrings.xml" ContentType="application/vnd.openxmlformats-officedocument.spreadsheetml.sharedStrings+xml"/>
  <Default Extension="rels" ContentType="application/vnd.openxmlformats-package.relationships+xml"/>
  <Override PartName="/docProps/app.xml" ContentType="application/vnd.openxmlformats-officedocument.extended-properties+xml"/>
  <Override PartName="/xl/drawings/drawing1.xml" ContentType="application/vnd.openxmlformats-officedocument.drawing+xml"/>
  <Default Extension="jpeg" ContentType="image/jpeg"/>
  <Override PartName="/xl/worksheets/sheet5.xml" ContentType="application/vnd.openxmlformats-officedocument.spreadsheetml.worksheet+xml"/>
  <Override PartName="/xl/calcChain.xml" ContentType="application/vnd.openxmlformats-officedocument.spreadsheetml.calcChain+xml"/>
  <Override PartName="/xl/styles.xml" ContentType="application/vnd.openxmlformats-officedocument.spreadsheetml.styles+xml"/>
</Types>
</file>

<file path=_rels/.rels><?xml version="1.0" encoding="UTF-8" standalone="yes"?>
<Relationships xmlns="http://schemas.openxmlformats.org/package/2006/relationships"><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 Id="rId3"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20" yWindow="-20" windowWidth="24800" windowHeight="15120" tabRatio="500" activeTab="4"/>
  </bookViews>
  <sheets>
    <sheet name="Basics" sheetId="1" r:id="rId1"/>
    <sheet name="Coupon Bond" sheetId="2" r:id="rId2"/>
    <sheet name="Annuities" sheetId="4" r:id="rId3"/>
    <sheet name="Arbitrage" sheetId="6" r:id="rId4"/>
    <sheet name="DIscussion" sheetId="5" r:id="rId5"/>
  </sheets>
  <calcPr calcId="130404"/>
  <extLst>
    <ext xmlns:mx="http://schemas.microsoft.com/office/mac/excel/2008/main" uri="http://schemas.microsoft.com/office/mac/excel/2008/main">
      <mx:ArchID Flags="2"/>
    </ext>
  </extLst>
</workbook>
</file>

<file path=xl/calcChain.xml><?xml version="1.0" encoding="utf-8"?>
<calcChain xmlns="http://schemas.openxmlformats.org/spreadsheetml/2006/main">
  <c r="J122" i="4"/>
  <c r="F119"/>
  <c r="F118"/>
  <c r="F117"/>
  <c r="F104"/>
  <c r="F103"/>
  <c r="F102"/>
  <c r="F101"/>
  <c r="E99"/>
  <c r="E96"/>
  <c r="C78"/>
  <c r="C76"/>
  <c r="C74"/>
  <c r="E71"/>
  <c r="J70"/>
  <c r="C66"/>
  <c r="B63"/>
  <c r="C62"/>
  <c r="H55"/>
  <c r="C53"/>
  <c r="C51"/>
  <c r="C49"/>
  <c r="C41"/>
  <c r="G39"/>
  <c r="C39"/>
  <c r="C37"/>
  <c r="F29"/>
  <c r="L28"/>
  <c r="D26"/>
  <c r="E22"/>
  <c r="CX10"/>
  <c r="CW10"/>
  <c r="CV10"/>
  <c r="CU10"/>
  <c r="CT10"/>
  <c r="CS10"/>
  <c r="CR10"/>
  <c r="CQ10"/>
  <c r="CP10"/>
  <c r="CO10"/>
  <c r="CN10"/>
  <c r="CM10"/>
  <c r="CL10"/>
  <c r="CK10"/>
  <c r="CJ10"/>
  <c r="CI10"/>
  <c r="CH10"/>
  <c r="CG10"/>
  <c r="CF10"/>
  <c r="CE10"/>
  <c r="CD10"/>
  <c r="CC10"/>
  <c r="CB10"/>
  <c r="CA10"/>
  <c r="BZ10"/>
  <c r="BY10"/>
  <c r="BX10"/>
  <c r="BW10"/>
  <c r="BV10"/>
  <c r="BU10"/>
  <c r="BT10"/>
  <c r="BS10"/>
  <c r="BR10"/>
  <c r="BQ10"/>
  <c r="BP10"/>
  <c r="BO10"/>
  <c r="BN10"/>
  <c r="BM10"/>
  <c r="BL10"/>
  <c r="BK10"/>
  <c r="BJ10"/>
  <c r="BI10"/>
  <c r="BH10"/>
  <c r="BG10"/>
  <c r="BF10"/>
  <c r="BE10"/>
  <c r="BD10"/>
  <c r="BC10"/>
  <c r="BB10"/>
  <c r="BA10"/>
  <c r="AZ10"/>
  <c r="AY10"/>
  <c r="AX10"/>
  <c r="AW10"/>
  <c r="AV10"/>
  <c r="AU10"/>
  <c r="AT10"/>
  <c r="AS10"/>
  <c r="AR10"/>
  <c r="AQ10"/>
  <c r="AP10"/>
  <c r="AO10"/>
  <c r="AN10"/>
  <c r="AM10"/>
  <c r="AL10"/>
  <c r="AK10"/>
  <c r="AJ10"/>
  <c r="AI10"/>
  <c r="AH10"/>
  <c r="AG10"/>
  <c r="AF10"/>
  <c r="AE10"/>
  <c r="AD10"/>
  <c r="AC10"/>
  <c r="AB10"/>
  <c r="AA10"/>
  <c r="Z10"/>
  <c r="Y10"/>
  <c r="X10"/>
  <c r="W10"/>
  <c r="V10"/>
  <c r="U10"/>
  <c r="T10"/>
  <c r="S10"/>
  <c r="R10"/>
  <c r="Q10"/>
  <c r="P10"/>
  <c r="O10"/>
  <c r="N10"/>
  <c r="M10"/>
  <c r="L10"/>
  <c r="K10"/>
  <c r="J10"/>
  <c r="I10"/>
  <c r="H10"/>
  <c r="G10"/>
  <c r="F10"/>
  <c r="E10"/>
  <c r="D10"/>
  <c r="C10"/>
  <c r="F75" i="6"/>
  <c r="E75"/>
  <c r="M74"/>
  <c r="M73"/>
  <c r="F73"/>
  <c r="E73"/>
  <c r="F71"/>
  <c r="E71"/>
  <c r="O62"/>
  <c r="F62"/>
  <c r="E62"/>
  <c r="O61"/>
  <c r="F60"/>
  <c r="E60"/>
  <c r="F58"/>
  <c r="E58"/>
  <c r="D53"/>
  <c r="D52"/>
  <c r="H50"/>
  <c r="G50"/>
  <c r="H48"/>
  <c r="G48"/>
  <c r="F35"/>
  <c r="E35"/>
  <c r="F33"/>
  <c r="E33"/>
  <c r="F29"/>
  <c r="E29"/>
  <c r="D21"/>
  <c r="C21"/>
  <c r="D20"/>
  <c r="C20"/>
  <c r="J12"/>
  <c r="G94" i="1"/>
  <c r="K85"/>
  <c r="E76"/>
  <c r="D69"/>
  <c r="H63"/>
  <c r="C61"/>
  <c r="C60"/>
  <c r="C59"/>
  <c r="C58"/>
  <c r="C57"/>
  <c r="C56"/>
  <c r="C55"/>
  <c r="C54"/>
  <c r="C53"/>
  <c r="C52"/>
  <c r="C51"/>
  <c r="C50"/>
  <c r="F31"/>
  <c r="E31"/>
  <c r="D31"/>
  <c r="E27"/>
  <c r="G23"/>
  <c r="H21"/>
  <c r="G18"/>
  <c r="F109" i="2"/>
  <c r="D107"/>
  <c r="U105"/>
  <c r="T105"/>
  <c r="S105"/>
  <c r="R105"/>
  <c r="Q105"/>
  <c r="P105"/>
  <c r="O105"/>
  <c r="N105"/>
  <c r="M105"/>
  <c r="L105"/>
  <c r="K105"/>
  <c r="J105"/>
  <c r="I105"/>
  <c r="H105"/>
  <c r="G105"/>
  <c r="F105"/>
  <c r="E105"/>
  <c r="D105"/>
  <c r="C105"/>
  <c r="B105"/>
  <c r="U104"/>
  <c r="T104"/>
  <c r="S104"/>
  <c r="R104"/>
  <c r="Q104"/>
  <c r="P104"/>
  <c r="O104"/>
  <c r="N104"/>
  <c r="M104"/>
  <c r="L104"/>
  <c r="K104"/>
  <c r="J104"/>
  <c r="I104"/>
  <c r="H104"/>
  <c r="G104"/>
  <c r="F104"/>
  <c r="E104"/>
  <c r="D104"/>
  <c r="C104"/>
  <c r="B104"/>
  <c r="U103"/>
  <c r="T103"/>
  <c r="S103"/>
  <c r="R103"/>
  <c r="Q103"/>
  <c r="P103"/>
  <c r="O103"/>
  <c r="N103"/>
  <c r="M103"/>
  <c r="L103"/>
  <c r="K103"/>
  <c r="J103"/>
  <c r="I103"/>
  <c r="H103"/>
  <c r="G103"/>
  <c r="F103"/>
  <c r="E103"/>
  <c r="D103"/>
  <c r="C103"/>
  <c r="B103"/>
  <c r="E90"/>
  <c r="E88"/>
  <c r="D88"/>
  <c r="C88"/>
  <c r="B88"/>
  <c r="E87"/>
  <c r="D87"/>
  <c r="C87"/>
  <c r="B87"/>
  <c r="E86"/>
  <c r="D86"/>
  <c r="C86"/>
  <c r="B86"/>
  <c r="E85"/>
  <c r="D85"/>
  <c r="C85"/>
  <c r="B85"/>
  <c r="E84"/>
  <c r="D84"/>
  <c r="C84"/>
  <c r="B84"/>
  <c r="E83"/>
  <c r="D83"/>
  <c r="C83"/>
  <c r="B83"/>
  <c r="E82"/>
  <c r="D82"/>
  <c r="C82"/>
  <c r="B82"/>
  <c r="E81"/>
  <c r="D81"/>
  <c r="C81"/>
  <c r="B81"/>
  <c r="E80"/>
  <c r="D80"/>
  <c r="C80"/>
  <c r="B80"/>
  <c r="E79"/>
  <c r="D79"/>
  <c r="C79"/>
  <c r="B79"/>
  <c r="E78"/>
  <c r="D78"/>
  <c r="C78"/>
  <c r="B78"/>
  <c r="E77"/>
  <c r="D77"/>
  <c r="C77"/>
  <c r="B77"/>
  <c r="E76"/>
  <c r="D76"/>
  <c r="C76"/>
  <c r="B76"/>
  <c r="E75"/>
  <c r="D75"/>
  <c r="C75"/>
  <c r="B75"/>
  <c r="E74"/>
  <c r="D74"/>
  <c r="C74"/>
  <c r="B74"/>
  <c r="E73"/>
  <c r="D73"/>
  <c r="C73"/>
  <c r="B73"/>
  <c r="E72"/>
  <c r="D72"/>
  <c r="C72"/>
  <c r="B72"/>
  <c r="E71"/>
  <c r="D71"/>
  <c r="C71"/>
  <c r="B71"/>
  <c r="E70"/>
  <c r="D70"/>
  <c r="C70"/>
  <c r="B70"/>
  <c r="E69"/>
  <c r="D69"/>
  <c r="C69"/>
  <c r="B69"/>
  <c r="G26"/>
  <c r="F26"/>
  <c r="E26"/>
  <c r="D26"/>
  <c r="G25"/>
  <c r="F25"/>
  <c r="E25"/>
  <c r="D25"/>
  <c r="G24"/>
  <c r="F24"/>
  <c r="E24"/>
  <c r="D24"/>
  <c r="G23"/>
  <c r="F23"/>
  <c r="E23"/>
  <c r="D23"/>
  <c r="G22"/>
  <c r="F22"/>
  <c r="E22"/>
  <c r="D22"/>
  <c r="G21"/>
  <c r="F21"/>
  <c r="E21"/>
  <c r="D21"/>
  <c r="G20"/>
  <c r="F20"/>
  <c r="E20"/>
  <c r="D20"/>
  <c r="G19"/>
  <c r="F19"/>
  <c r="E19"/>
  <c r="D19"/>
  <c r="G18"/>
  <c r="F18"/>
  <c r="E18"/>
  <c r="D18"/>
  <c r="G17"/>
  <c r="F17"/>
  <c r="E17"/>
  <c r="D17"/>
  <c r="G16"/>
  <c r="F16"/>
  <c r="E16"/>
  <c r="D16"/>
  <c r="G15"/>
  <c r="F15"/>
  <c r="E15"/>
  <c r="D15"/>
  <c r="G14"/>
  <c r="F14"/>
  <c r="E14"/>
  <c r="D14"/>
  <c r="G13"/>
  <c r="F13"/>
  <c r="E13"/>
  <c r="D13"/>
  <c r="G12"/>
  <c r="F12"/>
  <c r="E12"/>
  <c r="D12"/>
  <c r="G11"/>
  <c r="F11"/>
  <c r="E11"/>
  <c r="D11"/>
  <c r="G10"/>
  <c r="F10"/>
  <c r="E10"/>
  <c r="D10"/>
  <c r="G9"/>
  <c r="F9"/>
  <c r="E9"/>
  <c r="D9"/>
  <c r="G8"/>
  <c r="F8"/>
  <c r="E8"/>
  <c r="D8"/>
  <c r="G7"/>
  <c r="F7"/>
  <c r="E7"/>
  <c r="D7"/>
</calcChain>
</file>

<file path=xl/sharedStrings.xml><?xml version="1.0" encoding="utf-8"?>
<sst xmlns="http://schemas.openxmlformats.org/spreadsheetml/2006/main" count="319" uniqueCount="307">
  <si>
    <t>Every time any entity goes to the capital markets to obtain capital that entity (whether it’s a home buyer or a corporation) will have to compensate the capital provider for the pure cost of time--plus other things.</t>
    <phoneticPr fontId="3" type="noConversion"/>
  </si>
  <si>
    <t xml:space="preserve">  The Treasury market tells us about the pure cost of time.  Next we will move on to the ``other things'' that you have to pay capital providers.</t>
    <phoneticPr fontId="3" type="noConversion"/>
  </si>
  <si>
    <t>Simlutaneously buying this amount of the 2-15-23 2.75% note and short selling this amount of the 2-15-23 12% bond is called an arbitrage trade, or an arb trade.</t>
    <phoneticPr fontId="3" type="noConversion"/>
  </si>
  <si>
    <t xml:space="preserve">So this is an apparent arbitrage. </t>
    <phoneticPr fontId="3" type="noConversion"/>
  </si>
  <si>
    <t>We have taken some of the trading costs into account by buying at ask quotes and selling at bid quotes, but in practice we have to worry about financing and short-selling costs.</t>
    <phoneticPr fontId="3" type="noConversion"/>
  </si>
  <si>
    <t xml:space="preserve">  In general these are small.</t>
    <phoneticPr fontId="3" type="noConversion"/>
  </si>
  <si>
    <t>Now the next point to recognize is that this situation is not likely to persist for very long.  We spot this and immediately try to buy billions of the bond, and sell billions of the STRIPS</t>
    <phoneticPr fontId="3" type="noConversion"/>
  </si>
  <si>
    <t>The US Treasury market is deep and very liquid.  There are bills, notes, bonds, and STRIPS with an array of maturity dates.</t>
    <phoneticPr fontId="3" type="noConversion"/>
  </si>
  <si>
    <t xml:space="preserve">  The prices of these securities are the result of billions of dollars buying and selling every day.</t>
    <phoneticPr fontId="3" type="noConversion"/>
  </si>
  <si>
    <t xml:space="preserve">    As such, the prices contain valuable information about the cost of time in the market.  I refer to this as the pure cost of time because US Treasury securities have no default risk.</t>
    <phoneticPr fontId="3" type="noConversion"/>
  </si>
  <si>
    <t>Sell the STRIPS to result in the same cash flow (of opposite sign) of the bond on the maturity date:</t>
    <phoneticPr fontId="3" type="noConversion"/>
  </si>
  <si>
    <t>Net Cash Flows:</t>
    <phoneticPr fontId="3" type="noConversion"/>
  </si>
  <si>
    <t>Arbitrage is the basic paradigm of finance.</t>
    <phoneticPr fontId="3" type="noConversion"/>
  </si>
  <si>
    <t xml:space="preserve">The concept is also called the law of one price. </t>
    <phoneticPr fontId="3" type="noConversion"/>
  </si>
  <si>
    <t xml:space="preserve">Consider the following situation. </t>
    <phoneticPr fontId="3" type="noConversion"/>
  </si>
  <si>
    <t>May 15 2019 9.5% Treasury bond:</t>
    <phoneticPr fontId="3" type="noConversion"/>
  </si>
  <si>
    <t>Bid</t>
    <phoneticPr fontId="3" type="noConversion"/>
  </si>
  <si>
    <t>Ask</t>
    <phoneticPr fontId="3" type="noConversion"/>
  </si>
  <si>
    <t>May 15 2019 STRIPS</t>
    <phoneticPr fontId="3" type="noConversion"/>
  </si>
  <si>
    <t>Obviously these are different securities.  If you buy today $100 par value of the bond then in 6 months you will receive:</t>
    <phoneticPr fontId="3" type="noConversion"/>
  </si>
  <si>
    <t xml:space="preserve">    It generates a positive cash flow immediately and at time .5 (in 6 months) it ``self-liquidates.''  That is, the cash flow that we receive on the long position pays off the cash that we have to pay to close our short position.</t>
    <phoneticPr fontId="3" type="noConversion"/>
  </si>
  <si>
    <t>Of course, we could structure the trade so that the cash flows at initiation are 0, and then the positive cash flow occurs at the end:</t>
    <phoneticPr fontId="3" type="noConversion"/>
  </si>
  <si>
    <t>Sell 2-15-23 12% bond:</t>
    <phoneticPr fontId="3" type="noConversion"/>
  </si>
  <si>
    <t xml:space="preserve">  Now we start with the amount we pay initially.  This gets us how many bonds:</t>
    <phoneticPr fontId="3" type="noConversion"/>
  </si>
  <si>
    <t xml:space="preserve">   We sell that par value of the bonds and then in 6 months we get:</t>
    <phoneticPr fontId="3" type="noConversion"/>
  </si>
  <si>
    <t>This is also an arb trade since it generates a positive cash flow at some point(s) and never requires a negative cash flow.</t>
    <phoneticPr fontId="3" type="noConversion"/>
  </si>
  <si>
    <t>2-15-23 2.75% Note:</t>
    <phoneticPr fontId="3" type="noConversion"/>
  </si>
  <si>
    <t>So it looks as though the note is trading cheap relative to the bond.   Therefore let's try an arbitrage that is long the note and short the bond.</t>
    <phoneticPr fontId="3" type="noConversion"/>
  </si>
  <si>
    <t>Buy 2-15-23 2.75% note:</t>
    <phoneticPr fontId="3" type="noConversion"/>
  </si>
  <si>
    <t>Short sell 2-15-23 12% bond:</t>
    <phoneticPr fontId="3" type="noConversion"/>
  </si>
  <si>
    <t xml:space="preserve">     Note how this position is identified.  We want the same terminal cash flow as the note.</t>
    <phoneticPr fontId="3" type="noConversion"/>
  </si>
  <si>
    <t>So we have to ascertain how many par units of the bond we need to get this.  This is:</t>
    <phoneticPr fontId="3" type="noConversion"/>
  </si>
  <si>
    <t>Since we will sell this amount of par units we sell at the bid quote:</t>
    <phoneticPr fontId="3" type="noConversion"/>
  </si>
  <si>
    <t>1) What is the perpetual quarterly compounded yield to maturity if a 5% console that makes quarterly payments sells for 105.5?</t>
    <phoneticPr fontId="3" type="noConversion"/>
  </si>
  <si>
    <t xml:space="preserve">    1b) Explain the relationship between this yield to maturity and the console's coupon rate.</t>
    <phoneticPr fontId="3" type="noConversion"/>
  </si>
  <si>
    <t xml:space="preserve">2) What is the value of a 7.5% console that makes semi-annual payments, when the continuously compounded perpetual yield to maturity is 4.25%? </t>
    <phoneticPr fontId="3" type="noConversion"/>
  </si>
  <si>
    <t>The yield curve is a graphical representation of spot rates as a function of term to maturity.</t>
    <phoneticPr fontId="3" type="noConversion"/>
  </si>
  <si>
    <t>A spot rate is the yield to maturity on a 0-coupon Treasury security.</t>
    <phoneticPr fontId="3" type="noConversion"/>
  </si>
  <si>
    <t xml:space="preserve">  -- which will drive up the bond's price and drive down the STRIPS price until this opportunity vanishes.</t>
    <phoneticPr fontId="3" type="noConversion"/>
  </si>
  <si>
    <t>Next example:</t>
    <phoneticPr fontId="3" type="noConversion"/>
  </si>
  <si>
    <t>Today is Friday, August 12, 2022.</t>
    <phoneticPr fontId="3" type="noConversion"/>
  </si>
  <si>
    <t>Feb 15, 2023 12% bond:</t>
    <phoneticPr fontId="3" type="noConversion"/>
  </si>
  <si>
    <t>Ask</t>
    <phoneticPr fontId="3" type="noConversion"/>
  </si>
  <si>
    <t>T (Yrs)</t>
    <phoneticPr fontId="3" type="noConversion"/>
  </si>
  <si>
    <t>Feb 15, 2023 2.75% note:</t>
    <phoneticPr fontId="3" type="noConversion"/>
  </si>
  <si>
    <t>Let's compute both securities' yields to maturities using the spread mid-points:</t>
    <phoneticPr fontId="3" type="noConversion"/>
  </si>
  <si>
    <t>2-15-23 12% Bond:</t>
    <phoneticPr fontId="3" type="noConversion"/>
  </si>
  <si>
    <t>Spread MP</t>
    <phoneticPr fontId="3" type="noConversion"/>
  </si>
  <si>
    <t>Terminal CF</t>
    <phoneticPr fontId="3" type="noConversion"/>
  </si>
  <si>
    <t>Compute the yields to maturity of each security using the mid-point of the bid-ask spreads.</t>
    <phoneticPr fontId="3" type="noConversion"/>
  </si>
  <si>
    <t>9.5% Bond:</t>
    <phoneticPr fontId="3" type="noConversion"/>
  </si>
  <si>
    <t>Spread M-P</t>
    <phoneticPr fontId="3" type="noConversion"/>
  </si>
  <si>
    <t>cc ytm</t>
    <phoneticPr fontId="3" type="noConversion"/>
  </si>
  <si>
    <t>STRIPS:</t>
    <phoneticPr fontId="3" type="noConversion"/>
  </si>
  <si>
    <t>T (Years)</t>
    <phoneticPr fontId="3" type="noConversion"/>
  </si>
  <si>
    <t>These yields are not identical so we should investigate further to see whether we can make arbitrage profits.</t>
    <phoneticPr fontId="3" type="noConversion"/>
  </si>
  <si>
    <t>The security with a higher yield is relatively cheaper -- since the cash flow date(s) is (are) identical.</t>
    <phoneticPr fontId="3" type="noConversion"/>
  </si>
  <si>
    <t>So let's see what happens if we buy the bond and sell the STRIPS.</t>
    <phoneticPr fontId="3" type="noConversion"/>
  </si>
  <si>
    <t>Par amount:</t>
    <phoneticPr fontId="3" type="noConversion"/>
  </si>
  <si>
    <t>Buy this par amount of the bond:</t>
    <phoneticPr fontId="3" type="noConversion"/>
  </si>
  <si>
    <t xml:space="preserve">  Remember that the prices are expressed in percent of par terms, so we specify a par amount and multiply this by the stated price/100.</t>
    <phoneticPr fontId="3" type="noConversion"/>
  </si>
  <si>
    <t>Cash flows are signed.  If we buy this bond today we will have an initial cash outflow (on the settlement day) and a cash inflow when the bond matures.</t>
    <phoneticPr fontId="3" type="noConversion"/>
  </si>
  <si>
    <t>3) Suppose that you have $1 million in your retirement account.  The manager of the fund offers to turn the fund into an annuity that pays you $25,000 every 6 months.</t>
    <phoneticPr fontId="3" type="noConversion"/>
  </si>
  <si>
    <t xml:space="preserve">     You are currently single, 68 years old, and expect to live another 20 years.  The yield curve is flat at 4% in bond equivalent terms.</t>
    <phoneticPr fontId="3" type="noConversion"/>
  </si>
  <si>
    <t xml:space="preserve">     Is this a good deal in expected value terms (i.e., ignore risk).</t>
    <phoneticPr fontId="3" type="noConversion"/>
  </si>
  <si>
    <t>If you what to solve for the yield on a perpetuity, we need to use some sort of optimizer, such as Solver.</t>
    <phoneticPr fontId="3" type="noConversion"/>
  </si>
  <si>
    <t>Example:</t>
    <phoneticPr fontId="3" type="noConversion"/>
  </si>
  <si>
    <t>If we buy today $100 par value of the STRIPS then in 6 months we will receive:</t>
    <phoneticPr fontId="3" type="noConversion"/>
  </si>
  <si>
    <t>But -- they are both obligations of the US Treasury that make a single future cash flow on May 15 2019.</t>
    <phoneticPr fontId="3" type="noConversion"/>
  </si>
  <si>
    <t xml:space="preserve">    Today is Wednesday, November 14, 2018 and you see the following quotes on Bloomberg:</t>
    <phoneticPr fontId="3" type="noConversion"/>
  </si>
  <si>
    <t xml:space="preserve">  Therefore we could easily use one of them to replicate the other--which means that they should have identical yields to maturity.</t>
    <phoneticPr fontId="3" type="noConversion"/>
  </si>
  <si>
    <t>Suppose that the monthly compounded interest rate is:</t>
    <phoneticPr fontId="3" type="noConversion"/>
  </si>
  <si>
    <t xml:space="preserve">   2. Risk Premia.  I can lend for 30 years today by buying a 30-year zero-coupon bond or by buying a 3-month bill and rolling it over every three months for the next 30 years.</t>
    <phoneticPr fontId="3" type="noConversion"/>
  </si>
  <si>
    <t>For example if I have a fixed obligation that is due in 30 years, the first option is less risky than the second.</t>
    <phoneticPr fontId="3" type="noConversion"/>
  </si>
  <si>
    <t>Generally, however, we usually think that the yield curve reflects a liquidity premium.</t>
    <phoneticPr fontId="3" type="noConversion"/>
  </si>
  <si>
    <t xml:space="preserve">   1. Expectations about future short-term spot rates.  This includes inflationary expectations (since the spot rates are in nominal terms).</t>
    <phoneticPr fontId="3" type="noConversion"/>
  </si>
  <si>
    <t>For example, when the yield curve is downward-sloping, it is often said to be a prediction of a recession.</t>
    <phoneticPr fontId="3" type="noConversion"/>
  </si>
  <si>
    <t xml:space="preserve">  (Since the market expects future short rates to be lower than current short rates.)</t>
    <phoneticPr fontId="3" type="noConversion"/>
  </si>
  <si>
    <t>Risk in the term setting must be put into the context of the investor's planning horizon.</t>
    <phoneticPr fontId="3" type="noConversion"/>
  </si>
  <si>
    <t>2. Multiply both sides of this equation by (1+r): PV(1+r) =PMT * (1 + 1/(1+r) + 1/(1+r)^2 + 1/(1+r)^3 + . . .  )</t>
    <phoneticPr fontId="3" type="noConversion"/>
  </si>
  <si>
    <t>After completing this material you should be able to answer the following.</t>
    <phoneticPr fontId="3" type="noConversion"/>
  </si>
  <si>
    <t>* means that the question cannot be answered with a standard calculator and would not be asked on a quiz.</t>
    <phoneticPr fontId="3" type="noConversion"/>
  </si>
  <si>
    <t>After completing this material you should be able to answer the following:</t>
    <phoneticPr fontId="3" type="noConversion"/>
  </si>
  <si>
    <t>Maturity</t>
    <phoneticPr fontId="3" type="noConversion"/>
  </si>
  <si>
    <t>Price</t>
    <phoneticPr fontId="3" type="noConversion"/>
  </si>
  <si>
    <t>STRIPS</t>
    <phoneticPr fontId="3" type="noConversion"/>
  </si>
  <si>
    <t>Today is February 15, 2018.  You see the following STRIPS prices.</t>
    <phoneticPr fontId="3" type="noConversion"/>
  </si>
  <si>
    <t xml:space="preserve">The shape of the yield curve depends on the following: </t>
    <phoneticPr fontId="3" type="noConversion"/>
  </si>
  <si>
    <t xml:space="preserve">   3. Convexity (mathematical implication of expected volatility of short rates).</t>
    <phoneticPr fontId="3" type="noConversion"/>
  </si>
  <si>
    <t>For these reasons, analysts use the yield curve as an economic indicator.</t>
    <phoneticPr fontId="3" type="noConversion"/>
  </si>
  <si>
    <t xml:space="preserve">  2-c) What is this note's yield to maturity--in bond equivalent terms?   (*)</t>
    <phoneticPr fontId="3" type="noConversion"/>
  </si>
  <si>
    <t>1.060,677.19</t>
    <phoneticPr fontId="3" type="noConversion"/>
  </si>
  <si>
    <t>at 6% annuity rate:</t>
    <phoneticPr fontId="3" type="noConversion"/>
  </si>
  <si>
    <t>The value of their 401-K is $1.8 million.  The institution is offering a 4% rate on annuities.  What is the monthly payment they could get?</t>
    <phoneticPr fontId="3" type="noConversion"/>
  </si>
  <si>
    <t>PV = PMT/r + (PMT/r)/(1+r)^N</t>
    <phoneticPr fontId="3" type="noConversion"/>
  </si>
  <si>
    <t xml:space="preserve">  Assuming that r is the periodic (monthly) rate and N is the number of payments, our perpetuity difference means:</t>
    <phoneticPr fontId="3" type="noConversion"/>
  </si>
  <si>
    <t>PV = PMT(1/r - (1/r)/(1+r)^N)</t>
    <phoneticPr fontId="3" type="noConversion"/>
  </si>
  <si>
    <t>So solving for the payment:</t>
    <phoneticPr fontId="3" type="noConversion"/>
  </si>
  <si>
    <t>Value of perpetuity that starts today--as a function of the yield:</t>
    <phoneticPr fontId="3" type="noConversion"/>
  </si>
  <si>
    <t>Value of perpetuity that starts in 18 years:</t>
    <phoneticPr fontId="3" type="noConversion"/>
  </si>
  <si>
    <t>Value of annuity:</t>
    <phoneticPr fontId="3" type="noConversion"/>
  </si>
  <si>
    <t>So now we have an excel ``function'' that translates the monthly compounded yield in Cell C116 into an annuity value.</t>
    <phoneticPr fontId="3" type="noConversion"/>
  </si>
  <si>
    <t>We create a criterion function that minimizes the difference between the value of this function and our target value:</t>
    <phoneticPr fontId="3" type="noConversion"/>
  </si>
  <si>
    <t>Now we can ask Solver to minimize the value of this criterion by changing the yield in C116.</t>
    <phoneticPr fontId="3" type="noConversion"/>
  </si>
  <si>
    <t>Consider an annuity that entails payments of 2500 per month for 30 years.  What is the value of this annuity?</t>
    <phoneticPr fontId="3" type="noConversion"/>
  </si>
  <si>
    <t xml:space="preserve">  What is the quarterly payment on this perpetuity?</t>
    <phoneticPr fontId="3" type="noConversion"/>
  </si>
  <si>
    <t>Value</t>
    <phoneticPr fontId="3" type="noConversion"/>
  </si>
  <si>
    <t>The first perpetuity value:</t>
    <phoneticPr fontId="3" type="noConversion"/>
  </si>
  <si>
    <t>The second perpetuity is worth</t>
    <phoneticPr fontId="3" type="noConversion"/>
  </si>
  <si>
    <t>Your broker offers you a perpetuity that makes quarterly payments.</t>
    <phoneticPr fontId="3" type="noConversion"/>
  </si>
  <si>
    <t>He says its yield to maturity is 5%, and it costs</t>
    <phoneticPr fontId="3" type="noConversion"/>
  </si>
  <si>
    <t>The bond-equivalent yield (i.e., semi-annually compounded yield) is:</t>
    <phoneticPr fontId="3" type="noConversion"/>
  </si>
  <si>
    <t>Suppose that your retirement company offers you to turn your $2 million account into an annuity that pays you $10,000 per month.</t>
    <phoneticPr fontId="3" type="noConversion"/>
  </si>
  <si>
    <t>You are single and expect to live another 18 years.  What is the bond equivalent yield that your management company is offering?</t>
    <phoneticPr fontId="3" type="noConversion"/>
  </si>
  <si>
    <t>Monthly compounded yield:</t>
    <phoneticPr fontId="3" type="noConversion"/>
  </si>
  <si>
    <t>This is the difference between two perpetuities: one that starts today minus one that starts after 30 years</t>
    <phoneticPr fontId="3" type="noConversion"/>
  </si>
  <si>
    <t>Consider a 6-month T-Bill selling for 98.</t>
    <phoneticPr fontId="3" type="noConversion"/>
  </si>
  <si>
    <t>So the annuity is worth:</t>
    <phoneticPr fontId="3" type="noConversion"/>
  </si>
  <si>
    <t>at the end of 360 months, so its value today is:</t>
    <phoneticPr fontId="3" type="noConversion"/>
  </si>
  <si>
    <t>3. Subtract the top equation from the bottom equation:  PV(r) = PMT</t>
    <phoneticPr fontId="3" type="noConversion"/>
  </si>
  <si>
    <t>4. This allows us to solve for any of the 3 parts of the equation, given the other 2.</t>
    <phoneticPr fontId="3" type="noConversion"/>
  </si>
  <si>
    <t>Examples:</t>
    <phoneticPr fontId="3" type="noConversion"/>
  </si>
  <si>
    <t xml:space="preserve">    2b) Explain the relationship between this value and the console's par value.</t>
    <phoneticPr fontId="3" type="noConversion"/>
  </si>
  <si>
    <t xml:space="preserve">  2-b) Is the note's (bond equivalent) yield to maturity greater than, less than, or equal to 3%?  Explain.</t>
    <phoneticPr fontId="3" type="noConversion"/>
  </si>
  <si>
    <t xml:space="preserve">  2-d) What is this note's continuously compounded yield to maturity?   (*)</t>
    <phoneticPr fontId="3" type="noConversion"/>
  </si>
  <si>
    <t xml:space="preserve">   1-b) What is this note's yield to maturity--in bond equivalent terms?</t>
    <phoneticPr fontId="3" type="noConversion"/>
  </si>
  <si>
    <t xml:space="preserve">   1-c) What is this note's continuously compounded yield to maturity?</t>
    <phoneticPr fontId="3" type="noConversion"/>
  </si>
  <si>
    <t>2) What is the value of a 3% February 15, 2022 Treasury note?</t>
    <phoneticPr fontId="3" type="noConversion"/>
  </si>
  <si>
    <t>1. PV = PMT * (1/(1+r) + 1/(1+r)^2 + 1/(1+r)^3 + . . .  )</t>
    <phoneticPr fontId="3" type="noConversion"/>
  </si>
  <si>
    <t>The simplest financial security, and the foundation for understanding interest rates, and the time-value of money in the marketplace is a zero-coupon bond.</t>
    <phoneticPr fontId="3" type="noConversion"/>
  </si>
  <si>
    <t>We assume that there is no default risk in the obligations of the United States Treasury, so we look to the prices of zero-coupon Treasury securities</t>
    <phoneticPr fontId="3" type="noConversion"/>
  </si>
  <si>
    <t xml:space="preserve">      to learn how the market values time.  That is we can learn about the market's rate of impatience from these prices.</t>
    <phoneticPr fontId="3" type="noConversion"/>
  </si>
  <si>
    <t>1) What is the value of a 5% August 15 Treasury note?</t>
    <phoneticPr fontId="3" type="noConversion"/>
  </si>
  <si>
    <t>Questions with an * cannot be answered with only a standard calculator, and would not be asked on a quiz.</t>
    <phoneticPr fontId="3" type="noConversion"/>
  </si>
  <si>
    <t>You are wondering about your own retirement.  You would like to retire at age 66 with a monthly pension of:</t>
    <phoneticPr fontId="3" type="noConversion"/>
  </si>
  <si>
    <t xml:space="preserve">You expect that the annuity rate will be: </t>
    <phoneticPr fontId="3" type="noConversion"/>
  </si>
  <si>
    <t xml:space="preserve">  for 20 years:</t>
    <phoneticPr fontId="3" type="noConversion"/>
  </si>
  <si>
    <t>What is the balance that you will need in your 401-K account to ensure this cash flow?</t>
    <phoneticPr fontId="3" type="noConversion"/>
  </si>
  <si>
    <t>First perpetuity:</t>
    <phoneticPr fontId="3" type="noConversion"/>
  </si>
  <si>
    <t>This annuity is an ordinary annuity because the cash flows are made at the end of each period.  By contrast, an ``anuity due'' entails payments at the beginning of each period</t>
    <phoneticPr fontId="3" type="noConversion"/>
  </si>
  <si>
    <t>You are looking to buy a house.  Your budget suggests that you can make monthly interest and principal payments of $3000.</t>
    <phoneticPr fontId="3" type="noConversion"/>
  </si>
  <si>
    <t>The bank offers a 30-year fixed rate mortgage at 3.875% (with monthly payments).  What is the largest mortgage you can afford?</t>
    <phoneticPr fontId="3" type="noConversion"/>
  </si>
  <si>
    <t>The first perpetuity value:</t>
    <phoneticPr fontId="3" type="noConversion"/>
  </si>
  <si>
    <t>The future perpetuity value:</t>
    <phoneticPr fontId="3" type="noConversion"/>
  </si>
  <si>
    <t>Maximum mortgage value:</t>
    <phoneticPr fontId="3" type="noConversion"/>
  </si>
  <si>
    <t>Assuming that the bank will require a 20% down payment, this means that the maximum purchase price is:</t>
    <phoneticPr fontId="3" type="noConversion"/>
  </si>
  <si>
    <t>Your parents are considering converting their 401-K into an annuity.  They are currently 69 and want an annuity that makes monthly payments for the next 22 years.</t>
    <phoneticPr fontId="3" type="noConversion"/>
  </si>
  <si>
    <t>6) What is the effective annual yield on a 6.5% mortgage with monthly payments?</t>
    <phoneticPr fontId="3" type="noConversion"/>
  </si>
  <si>
    <t>(1+r/p)^p - 1.</t>
    <phoneticPr fontId="3" type="noConversion"/>
  </si>
  <si>
    <t>The US Treasury issues coupon-paying securities with terms between 2 and 30 years.</t>
    <phoneticPr fontId="3" type="noConversion"/>
  </si>
  <si>
    <t>Example:</t>
    <phoneticPr fontId="3" type="noConversion"/>
  </si>
  <si>
    <t>Today is October 25, 2017.  A US Treasury Bill that matures on October 25, 2018 sells for 97.</t>
    <phoneticPr fontId="3" type="noConversion"/>
  </si>
  <si>
    <t xml:space="preserve">Note that fixed income instrument prices are often quoted in percentage of par terms.  </t>
    <phoneticPr fontId="3" type="noConversion"/>
  </si>
  <si>
    <t xml:space="preserve">  The easiest way to work with this is to use percentage and dollar amounts equivalently.</t>
    <phoneticPr fontId="3" type="noConversion"/>
  </si>
  <si>
    <t>So in this case this Bill is worth</t>
    <phoneticPr fontId="3" type="noConversion"/>
  </si>
  <si>
    <t>P(1+r/2)^(2T)</t>
    <phoneticPr fontId="3" type="noConversion"/>
  </si>
  <si>
    <t>Example:</t>
    <phoneticPr fontId="3" type="noConversion"/>
  </si>
  <si>
    <t>CD pays 3% interest compounded daily.  What is its effective annual yield?  -- That is, what is the rate that would give you the same return over a year if it were annually-compounded?</t>
    <phoneticPr fontId="3" type="noConversion"/>
  </si>
  <si>
    <t>Here p is the number of compounding periods per year.</t>
    <phoneticPr fontId="3" type="noConversion"/>
  </si>
  <si>
    <t>Stated interest rate:</t>
    <phoneticPr fontId="3" type="noConversion"/>
  </si>
  <si>
    <t>Number of compounding periods per year:</t>
    <phoneticPr fontId="3" type="noConversion"/>
  </si>
  <si>
    <t>Effective Annual Yield:</t>
    <phoneticPr fontId="3" type="noConversion"/>
  </si>
  <si>
    <t>Our example, the value of the perpetuity is:</t>
    <phoneticPr fontId="3" type="noConversion"/>
  </si>
  <si>
    <t>**Note that the frequency of payments does not directly enter the equation.  This is accounted for by using the periodic rate.  In this example, that is .05/12</t>
    <phoneticPr fontId="3" type="noConversion"/>
  </si>
  <si>
    <t xml:space="preserve">A British console that makes semi-annual payments of $500 (into perpetuity) sells for </t>
    <phoneticPr fontId="3" type="noConversion"/>
  </si>
  <si>
    <t>What is its yield to maturity?</t>
    <phoneticPr fontId="3" type="noConversion"/>
  </si>
  <si>
    <t xml:space="preserve">  --Note: We often use the construct of basis points to characterize interest rates.</t>
    <phoneticPr fontId="3" type="noConversion"/>
  </si>
  <si>
    <t xml:space="preserve">One basis point is 1/100 of a percent.  So 3.09% is 309 basis points.  </t>
    <phoneticPr fontId="3" type="noConversion"/>
  </si>
  <si>
    <t>Second perpetuity:</t>
    <phoneticPr fontId="3" type="noConversion"/>
  </si>
  <si>
    <t>Annuity PV:</t>
    <phoneticPr fontId="3" type="noConversion"/>
  </si>
  <si>
    <t>at 4% annuity rate:</t>
    <phoneticPr fontId="3" type="noConversion"/>
  </si>
  <si>
    <t>at 5% annuity rate:</t>
    <phoneticPr fontId="3" type="noConversion"/>
  </si>
  <si>
    <t>We can find the note's yield-to-maturity using Solver:</t>
    <phoneticPr fontId="3" type="noConversion"/>
  </si>
  <si>
    <t>Annual compounding means that after one year interest is paid, added to the principal, and earns interest over the next year.</t>
    <phoneticPr fontId="3" type="noConversion"/>
  </si>
  <si>
    <t>Time:</t>
    <phoneticPr fontId="3" type="noConversion"/>
  </si>
  <si>
    <t>Balance:</t>
    <phoneticPr fontId="3" type="noConversion"/>
  </si>
  <si>
    <t>P</t>
    <phoneticPr fontId="3" type="noConversion"/>
  </si>
  <si>
    <t>P(1+r)</t>
    <phoneticPr fontId="3" type="noConversion"/>
  </si>
  <si>
    <t>P(1+r)(1+r)</t>
    <phoneticPr fontId="3" type="noConversion"/>
  </si>
  <si>
    <t xml:space="preserve"> = P(1+r)^2</t>
    <phoneticPr fontId="3" type="noConversion"/>
  </si>
  <si>
    <t>PV = FV * exp(-r*T)</t>
    <phoneticPr fontId="3" type="noConversion"/>
  </si>
  <si>
    <t>BEY:</t>
    <phoneticPr fontId="3" type="noConversion"/>
  </si>
  <si>
    <t>PV = FV / (1+r/2)^(2T)</t>
    <phoneticPr fontId="3" type="noConversion"/>
  </si>
  <si>
    <t>==&gt; Cont C</t>
    <phoneticPr fontId="3" type="noConversion"/>
  </si>
  <si>
    <t>EAY + 1</t>
    <phoneticPr fontId="3" type="noConversion"/>
  </si>
  <si>
    <t xml:space="preserve">  We ask what is the discount factor that when used to discount all of the note's cash flows produce its price:</t>
    <phoneticPr fontId="3" type="noConversion"/>
  </si>
  <si>
    <t>Time:</t>
    <phoneticPr fontId="3" type="noConversion"/>
  </si>
  <si>
    <t>Cash Flow</t>
    <phoneticPr fontId="3" type="noConversion"/>
  </si>
  <si>
    <t>single rate:</t>
    <phoneticPr fontId="3" type="noConversion"/>
  </si>
  <si>
    <t>PV:</t>
    <phoneticPr fontId="3" type="noConversion"/>
  </si>
  <si>
    <t>Discount factor:</t>
    <phoneticPr fontId="3" type="noConversion"/>
  </si>
  <si>
    <t>Value using the rate in cell B100 as the note's yield:</t>
    <phoneticPr fontId="3" type="noConversion"/>
  </si>
  <si>
    <t>So in our monthly compounded CD, this is:</t>
    <phoneticPr fontId="3" type="noConversion"/>
  </si>
  <si>
    <t>The US Treasury issues 0-coupon securities with 1-year and 6-month horizons on a regular basis.</t>
    <phoneticPr fontId="3" type="noConversion"/>
  </si>
  <si>
    <t xml:space="preserve">    These are called Treasury Bills. </t>
    <phoneticPr fontId="3" type="noConversion"/>
  </si>
  <si>
    <t>Note that:</t>
    <phoneticPr fontId="3" type="noConversion"/>
  </si>
  <si>
    <t>Next consider a two-year strip.  A strip refers to a 0-coupon Treasury security that has been ``stripped'' from a coupon-paying note or bond.</t>
    <phoneticPr fontId="3" type="noConversion"/>
  </si>
  <si>
    <t>We exploit the property of infinity.</t>
    <phoneticPr fontId="3" type="noConversion"/>
  </si>
  <si>
    <t>To use Solver we should set up a criterion function that we want to minimize.</t>
    <phoneticPr fontId="3" type="noConversion"/>
  </si>
  <si>
    <t>If we use a rate in Cell 100B that is lower than the note's yield-to-maturity then it will result in a value that is higher than the note's price.  (Why?)</t>
    <phoneticPr fontId="3" type="noConversion"/>
  </si>
  <si>
    <t>What happens when we use a rate in Cell 100B that is higher than the note's yield-to-maturity?  Why?</t>
    <phoneticPr fontId="3" type="noConversion"/>
  </si>
  <si>
    <t>Stated interest rate:</t>
    <phoneticPr fontId="3" type="noConversion"/>
  </si>
  <si>
    <t>If a bank tells you that it offers a 1-year CD that pays 3% interest compounded continuously, then the effective annual yield is:</t>
    <phoneticPr fontId="3" type="noConversion"/>
  </si>
  <si>
    <t xml:space="preserve">  Notice that this is not much higher than the daily compounded rate.</t>
    <phoneticPr fontId="3" type="noConversion"/>
  </si>
  <si>
    <t xml:space="preserve">          When you copy the formula you can fix cells by putting a $ symbol in front of the row and or column.</t>
    <phoneticPr fontId="3" type="noConversion"/>
  </si>
  <si>
    <t>Another common compounding term is semi-annual.  This is because by convention notes and bonds in the US pay make interest payments semi-annually.</t>
    <phoneticPr fontId="3" type="noConversion"/>
  </si>
  <si>
    <t>For any finite compounding interval, the effective annual yield--that is that rate which on an annually compounded basis generates the same value--</t>
    <phoneticPr fontId="3" type="noConversion"/>
  </si>
  <si>
    <t xml:space="preserve">     is:</t>
    <phoneticPr fontId="3" type="noConversion"/>
  </si>
  <si>
    <t>An annuity is a stream of constant cash flows.  One of the most commonly encountered annuities is a fixed-rate mortgage.</t>
    <phoneticPr fontId="3" type="noConversion"/>
  </si>
  <si>
    <r>
      <t xml:space="preserve">Intuition:  r/p is the interest rate that the balance earns each period.  Once interest is earned it starts earning interest -- this is the notion of </t>
    </r>
    <r>
      <rPr>
        <i/>
        <sz val="10"/>
        <rFont val="Verdana"/>
      </rPr>
      <t>compounding</t>
    </r>
    <r>
      <rPr>
        <sz val="10"/>
        <rFont val="Verdana"/>
      </rPr>
      <t>.</t>
    </r>
    <phoneticPr fontId="3" type="noConversion"/>
  </si>
  <si>
    <t>Note that as we increase the number of compounding periods per year the effective yield --for a given stated yield-- is strictly increasing.</t>
    <phoneticPr fontId="3" type="noConversion"/>
  </si>
  <si>
    <t xml:space="preserve">   But the rate of increase is very low.</t>
    <phoneticPr fontId="3" type="noConversion"/>
  </si>
  <si>
    <t xml:space="preserve">  when it matures, and it costs </t>
    <phoneticPr fontId="3" type="noConversion"/>
  </si>
  <si>
    <t xml:space="preserve">  today.</t>
    <phoneticPr fontId="3" type="noConversion"/>
  </si>
  <si>
    <t>In terms of interest rates, this means that the one-year spot rate of interest is:</t>
    <phoneticPr fontId="3" type="noConversion"/>
  </si>
  <si>
    <t>Continuous compounding.</t>
    <phoneticPr fontId="3" type="noConversion"/>
  </si>
  <si>
    <t>Continuous compounding is widely used because it is the most general, and avoids problems that might arise when the term does not correspond to an integer multiple of the compounding period.</t>
    <phoneticPr fontId="3" type="noConversion"/>
  </si>
  <si>
    <t xml:space="preserve">Suppose that you have a 1-year planning horizon, if a bank were to offer you a 1-year FDIC-insured CD with annually-compounded interest rate of 3.25%, this would be preferred to the 1-year Treasury Bill above. </t>
    <phoneticPr fontId="3" type="noConversion"/>
  </si>
  <si>
    <t>discount factor</t>
    <phoneticPr fontId="3" type="noConversion"/>
  </si>
  <si>
    <t>Present Value</t>
    <phoneticPr fontId="3" type="noConversion"/>
  </si>
  <si>
    <t>The compounding of interest refers to the frequency with which interest is added to principal, at which point it starts earning interest.</t>
    <phoneticPr fontId="3" type="noConversion"/>
  </si>
  <si>
    <t>It is natural to ask whether there is a single yield that characterizes the return that the owner of this note achieves.</t>
    <phoneticPr fontId="3" type="noConversion"/>
  </si>
  <si>
    <t>This is called the note's yield-to-maturity, but it is as likely to be misleading as helpful.</t>
    <phoneticPr fontId="3" type="noConversion"/>
  </si>
  <si>
    <t>The idea behind the note's yield-to-maturity is this: What is the rate that we use to discount the note's future cash flows that produces the note's market price as the present value.</t>
    <phoneticPr fontId="3" type="noConversion"/>
  </si>
  <si>
    <t xml:space="preserve">Spot Rate </t>
    <phoneticPr fontId="3" type="noConversion"/>
  </si>
  <si>
    <t>(Continuously Compd)</t>
  </si>
  <si>
    <t>BEY</t>
    <phoneticPr fontId="3" type="noConversion"/>
  </si>
  <si>
    <t>Verify link</t>
    <phoneticPr fontId="3" type="noConversion"/>
  </si>
  <si>
    <t>between 2 compounding periods</t>
    <phoneticPr fontId="3" type="noConversion"/>
  </si>
  <si>
    <t>Background relationships:  continuous-time compounding:</t>
    <phoneticPr fontId="3" type="noConversion"/>
  </si>
  <si>
    <t>Traditionally coupon paying securities with original terms between 1 and 10 years are called notes, and those with longer terms are called bonds.</t>
    <phoneticPr fontId="3" type="noConversion"/>
  </si>
  <si>
    <t xml:space="preserve">   However, the terms are now used interchangeably in many cases.</t>
    <phoneticPr fontId="3" type="noConversion"/>
  </si>
  <si>
    <t>The price of the strip today is 94% of par.</t>
    <phoneticPr fontId="3" type="noConversion"/>
  </si>
  <si>
    <t>The annually-compounded yield on this strip is:</t>
    <phoneticPr fontId="3" type="noConversion"/>
  </si>
  <si>
    <t>Price:</t>
    <phoneticPr fontId="3" type="noConversion"/>
  </si>
  <si>
    <t>Terminal Value:</t>
    <phoneticPr fontId="3" type="noConversion"/>
  </si>
  <si>
    <t>Time (Months):</t>
    <phoneticPr fontId="3" type="noConversion"/>
  </si>
  <si>
    <t>So, the computer can't go out to infinity, and therefore we need mathematics to help out.</t>
    <phoneticPr fontId="3" type="noConversion"/>
  </si>
  <si>
    <t>So if you put $100 into a 1-year CD that pays 3% interest compounded monthly, the following table shows its value:</t>
    <phoneticPr fontId="3" type="noConversion"/>
  </si>
  <si>
    <t>Time (in months)</t>
    <phoneticPr fontId="3" type="noConversion"/>
  </si>
  <si>
    <t>Account Value</t>
    <phoneticPr fontId="3" type="noConversion"/>
  </si>
  <si>
    <t>Vefifications:  the more frequent compounding the lower the rate</t>
    <phoneticPr fontId="3" type="noConversion"/>
  </si>
  <si>
    <t>A plot of the spot yield -- on the vertical axis -- against the term -- on the horizontal axis -- is called the yield curve.</t>
    <phoneticPr fontId="3" type="noConversion"/>
  </si>
  <si>
    <t xml:space="preserve">   This note makes coupon payments on May 15 and November 15 during its life.</t>
    <phoneticPr fontId="3" type="noConversion"/>
  </si>
  <si>
    <t>Now, consider a new 10-year Treasury Note that matures on November 15, 2027 with a coupon rate of 2.75%.</t>
    <phoneticPr fontId="3" type="noConversion"/>
  </si>
  <si>
    <t>We continue to behave as if the relevant dates are exactly 6 months apart.</t>
    <phoneticPr fontId="3" type="noConversion"/>
  </si>
  <si>
    <t>So we would prefer the 1-year bill, since if we buy 100 worth of that now, after one year it is worth:</t>
    <phoneticPr fontId="3" type="noConversion"/>
  </si>
  <si>
    <t>2) A bank offers you an FDIC-insured 1-year CD with an interest rate of 4% compounded monthly.</t>
    <phoneticPr fontId="3" type="noConversion"/>
  </si>
  <si>
    <t>3) The continuously compounded CD rate on a 5-year CD is 3.65%.  You would like to have $40,000 for a down payment on a house in 5 years.</t>
    <phoneticPr fontId="3" type="noConversion"/>
  </si>
  <si>
    <t>How much money do you have to place into the CD today to achieve your goal?</t>
    <phoneticPr fontId="3" type="noConversion"/>
  </si>
  <si>
    <t>Note's cash flows and values:</t>
    <phoneticPr fontId="3" type="noConversion"/>
  </si>
  <si>
    <t>Time (Years)</t>
    <phoneticPr fontId="3" type="noConversion"/>
  </si>
  <si>
    <t>Cash Flow</t>
    <phoneticPr fontId="3" type="noConversion"/>
  </si>
  <si>
    <t xml:space="preserve">  Compounding interval:</t>
    <phoneticPr fontId="3" type="noConversion"/>
  </si>
  <si>
    <t>(Shows the number of times per year that interest is compounded.)</t>
    <phoneticPr fontId="3" type="noConversion"/>
  </si>
  <si>
    <t xml:space="preserve">  Excel Tip:  Note that you should only enter a formula once.</t>
    <phoneticPr fontId="3" type="noConversion"/>
  </si>
  <si>
    <t>Suppose that the yield curve is flat at a 5% monthly-compounded yield:</t>
    <phoneticPr fontId="3" type="noConversion"/>
  </si>
  <si>
    <t>discount factor:</t>
    <phoneticPr fontId="3" type="noConversion"/>
  </si>
  <si>
    <t>This is the annually-compounded one-year spot rate.</t>
    <phoneticPr fontId="3" type="noConversion"/>
  </si>
  <si>
    <t>But what if the bank offered a 3% interest rate compounded monthly?</t>
    <phoneticPr fontId="3" type="noConversion"/>
  </si>
  <si>
    <t>Coupon-paying securities -- Notes &amp; Bonds</t>
    <phoneticPr fontId="3" type="noConversion"/>
  </si>
  <si>
    <t>If you want to buy $10,000 par units of this bill, it will cost:</t>
    <phoneticPr fontId="3" type="noConversion"/>
  </si>
  <si>
    <t xml:space="preserve">     Price for $1 par:</t>
    <phoneticPr fontId="3" type="noConversion"/>
  </si>
  <si>
    <t>Evaluate the sensitivity of this result to the interest rate.  How is the answer affected if the annuity rate is 4%?  -- 7%?</t>
    <phoneticPr fontId="3" type="noConversion"/>
  </si>
  <si>
    <t>So a 0-coupon bond that matures at T and sells for price P has an annually-compounded yield-to-maturity of: (100/P)^(1/T)-1</t>
    <phoneticPr fontId="3" type="noConversion"/>
  </si>
  <si>
    <t>Suppose that we see the following set of STRIPS:</t>
    <phoneticPr fontId="3" type="noConversion"/>
  </si>
  <si>
    <t>Today:</t>
    <phoneticPr fontId="3" type="noConversion"/>
  </si>
  <si>
    <t>Maturity</t>
    <phoneticPr fontId="3" type="noConversion"/>
  </si>
  <si>
    <t>Price (% of par)</t>
    <phoneticPr fontId="3" type="noConversion"/>
  </si>
  <si>
    <t>Spot Rate</t>
    <phoneticPr fontId="3" type="noConversion"/>
  </si>
  <si>
    <t>STRIP term (Years)</t>
    <phoneticPr fontId="3" type="noConversion"/>
  </si>
  <si>
    <t>Questions that you should be able to answer with the knowledge from this material:</t>
    <phoneticPr fontId="3" type="noConversion"/>
  </si>
  <si>
    <r>
      <t xml:space="preserve">In fact, semi-annual compounding is called </t>
    </r>
    <r>
      <rPr>
        <b/>
        <sz val="10"/>
        <rFont val="Verdana"/>
      </rPr>
      <t>bond equivalent</t>
    </r>
    <r>
      <rPr>
        <sz val="10"/>
        <rFont val="Verdana"/>
      </rPr>
      <t xml:space="preserve"> for this reason.</t>
    </r>
    <phoneticPr fontId="3" type="noConversion"/>
  </si>
  <si>
    <t>Time (Years):</t>
    <phoneticPr fontId="3" type="noConversion"/>
  </si>
  <si>
    <t>Note that time is expressed in years since the interest rate is always expressed on a per annum basis.</t>
    <phoneticPr fontId="3" type="noConversion"/>
  </si>
  <si>
    <t>1) We get the PV of the lump sum:</t>
    <phoneticPr fontId="3" type="noConversion"/>
  </si>
  <si>
    <t>2) We value the annuity:</t>
    <phoneticPr fontId="3" type="noConversion"/>
  </si>
  <si>
    <t>semi-annual cash flow:</t>
    <phoneticPr fontId="3" type="noConversion"/>
  </si>
  <si>
    <t>Value of a 6-month perpetuity that starts today:</t>
    <phoneticPr fontId="3" type="noConversion"/>
  </si>
  <si>
    <t>Value of a 6-month perpetuity that starts when bond matures:</t>
    <phoneticPr fontId="3" type="noConversion"/>
  </si>
  <si>
    <t>Value of annuity:</t>
    <phoneticPr fontId="3" type="noConversion"/>
  </si>
  <si>
    <t>Value of bond:</t>
    <phoneticPr fontId="3" type="noConversion"/>
  </si>
  <si>
    <t>We should pause to see whether this makes sense.  The bond is selling at a premium, meaning its price is above par.</t>
    <phoneticPr fontId="3" type="noConversion"/>
  </si>
  <si>
    <t>That makes sense because the bond's coupon rate is higher than its yield to maturity.  The only way that this can happen is when the buyer pays more for the bond than its par value.</t>
    <phoneticPr fontId="3" type="noConversion"/>
  </si>
  <si>
    <t>and a bond selling at a discount has a yield to maturity &gt; its coupon rate.</t>
    <phoneticPr fontId="3" type="noConversion"/>
  </si>
  <si>
    <t xml:space="preserve">     What would your life expectancy have to be in order to make this a break-even deal for you and the fund company?  </t>
    <phoneticPr fontId="3" type="noConversion"/>
  </si>
  <si>
    <t>Keep the signs of your cash flows straight:</t>
    <phoneticPr fontId="3" type="noConversion"/>
  </si>
  <si>
    <t>When you take a long position, you buy a security, you have a cash outflow.</t>
    <phoneticPr fontId="3" type="noConversion"/>
  </si>
  <si>
    <t>When you open a short position, you sell a security, you have a cash inflow.</t>
    <phoneticPr fontId="3" type="noConversion"/>
  </si>
  <si>
    <t>Once you own a bond you will receive coupon and principal payments in cash.</t>
    <phoneticPr fontId="3" type="noConversion"/>
  </si>
  <si>
    <t>If you are short a bond you must make interest and prinicpal payments.</t>
    <phoneticPr fontId="3" type="noConversion"/>
  </si>
  <si>
    <t>4) Show the balance in your account at the end of each quarter if you buy a 3-year CD that pays 4.15% interest compounded quarterly, for $25,000.</t>
    <phoneticPr fontId="3" type="noConversion"/>
  </si>
  <si>
    <t>If we found that the price was 100 or less, we should know that we have a mistake somewhere since a bond selling at 100 has a yield to maturity = its coupon rate</t>
    <phoneticPr fontId="3" type="noConversion"/>
  </si>
  <si>
    <t>5) Citibank offers a 3-year CD with a semi-annually compounded rate of 3.75%.  Chase offers a 3-year CD with a continuously compounded rate of 3.7%.</t>
    <phoneticPr fontId="3" type="noConversion"/>
  </si>
  <si>
    <t xml:space="preserve">     Which is better?</t>
    <phoneticPr fontId="3" type="noConversion"/>
  </si>
  <si>
    <t xml:space="preserve">What is the price on a 1-year Treasury bill, that makes you indifferent between holding it and the CD? </t>
    <phoneticPr fontId="3" type="noConversion"/>
  </si>
  <si>
    <t>So a bond is the same as an annuity plus a lump sum future cash flow.</t>
    <phoneticPr fontId="3" type="noConversion"/>
  </si>
  <si>
    <t>Example:</t>
    <phoneticPr fontId="3" type="noConversion"/>
  </si>
  <si>
    <t>Today is November 15, 2017, a 4.25% US Treasury, maturing on May 15, 2045 has a yield to maturity of 3.75%.  What is the price of the bond?</t>
    <phoneticPr fontId="3" type="noConversion"/>
  </si>
  <si>
    <t>1) Suppose that a bill that matures in 6 months sells for 96.45 (% of par).  What is:</t>
    <phoneticPr fontId="3" type="noConversion"/>
  </si>
  <si>
    <t>a) the bond equivalent yield on this bill?</t>
    <phoneticPr fontId="3" type="noConversion"/>
  </si>
  <si>
    <t>b) the effective annual yield on this bill?</t>
    <phoneticPr fontId="3" type="noConversion"/>
  </si>
  <si>
    <t>c) the continuously compounded yield on this bill?</t>
    <phoneticPr fontId="3" type="noConversion"/>
  </si>
  <si>
    <t>To deal with annuities, algebraically we start with perpetuities -- which are annuities that have infinite lives.</t>
    <phoneticPr fontId="3" type="noConversion"/>
  </si>
  <si>
    <t>For example, consider a perpetuity that pays $100 per month.</t>
    <phoneticPr fontId="3" type="noConversion"/>
  </si>
  <si>
    <t>Value of Perpetuity:</t>
    <phoneticPr fontId="3" type="noConversion"/>
  </si>
  <si>
    <t>Pmt</t>
    <phoneticPr fontId="3" type="noConversion"/>
  </si>
</sst>
</file>

<file path=xl/styles.xml><?xml version="1.0" encoding="utf-8"?>
<styleSheet xmlns="http://schemas.openxmlformats.org/spreadsheetml/2006/main">
  <numFmts count="2">
    <numFmt numFmtId="8" formatCode="&quot;$&quot;#,##0.00_);[Red]\(&quot;$&quot;#,##0.00\)"/>
    <numFmt numFmtId="164" formatCode="&quot;$&quot;#,##0.00"/>
  </numFmts>
  <fonts count="6">
    <font>
      <sz val="10"/>
      <name val="Verdana"/>
    </font>
    <font>
      <b/>
      <sz val="10"/>
      <name val="Verdana"/>
    </font>
    <font>
      <i/>
      <sz val="10"/>
      <name val="Verdana"/>
    </font>
    <font>
      <sz val="8"/>
      <name val="Verdana"/>
    </font>
    <font>
      <sz val="12"/>
      <name val="Verdana"/>
    </font>
    <font>
      <u/>
      <sz val="10"/>
      <name val="Verdana"/>
    </font>
  </fonts>
  <fills count="3">
    <fill>
      <patternFill patternType="none"/>
    </fill>
    <fill>
      <patternFill patternType="gray125"/>
    </fill>
    <fill>
      <patternFill patternType="solid">
        <fgColor indexed="50"/>
        <bgColor indexed="64"/>
      </patternFill>
    </fill>
  </fills>
  <borders count="1">
    <border>
      <left/>
      <right/>
      <top/>
      <bottom/>
      <diagonal/>
    </border>
  </borders>
  <cellStyleXfs count="1">
    <xf numFmtId="0" fontId="0" fillId="0" borderId="0"/>
  </cellStyleXfs>
  <cellXfs count="10">
    <xf numFmtId="0" fontId="0" fillId="0" borderId="0" xfId="0"/>
    <xf numFmtId="0" fontId="4" fillId="2" borderId="0" xfId="0" applyFont="1" applyFill="1"/>
    <xf numFmtId="164" fontId="0" fillId="0" borderId="0" xfId="0" applyNumberFormat="1"/>
    <xf numFmtId="0" fontId="0" fillId="0" borderId="0" xfId="0" quotePrefix="1"/>
    <xf numFmtId="14" fontId="0" fillId="0" borderId="0" xfId="0" applyNumberFormat="1"/>
    <xf numFmtId="0" fontId="5" fillId="0" borderId="0" xfId="0" applyFont="1"/>
    <xf numFmtId="4" fontId="0" fillId="0" borderId="0" xfId="0" applyNumberFormat="1"/>
    <xf numFmtId="8" fontId="0" fillId="0" borderId="0" xfId="0" applyNumberFormat="1"/>
    <xf numFmtId="15" fontId="0" fillId="0" borderId="0" xfId="0" applyNumberFormat="1"/>
    <xf numFmtId="3" fontId="0" fillId="0" borderId="0" xfId="0" applyNumberFormat="1"/>
  </cellXfs>
  <cellStyles count="1">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4" Type="http://schemas.openxmlformats.org/officeDocument/2006/relationships/worksheet" Target="worksheets/sheet4.xml"/><Relationship Id="rId5" Type="http://schemas.openxmlformats.org/officeDocument/2006/relationships/worksheet" Target="worksheets/sheet5.xml"/><Relationship Id="rId7" Type="http://schemas.openxmlformats.org/officeDocument/2006/relationships/styles" Target="styles.xml"/><Relationship Id="rId1" Type="http://schemas.openxmlformats.org/officeDocument/2006/relationships/worksheet" Target="worksheets/sheet1.xml"/><Relationship Id="rId2" Type="http://schemas.openxmlformats.org/officeDocument/2006/relationships/worksheet" Target="worksheets/sheet2.xml"/><Relationship Id="rId9" Type="http://schemas.openxmlformats.org/officeDocument/2006/relationships/calcChain" Target="calcChain.xml"/><Relationship Id="rId3" Type="http://schemas.openxmlformats.org/officeDocument/2006/relationships/worksheet" Target="worksheets/sheet3.xml"/><Relationship Id="rId6"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c:date1904 val="1"/>
  <c:lang val="en-US"/>
  <c:style val="18"/>
  <c:chart>
    <c:plotArea>
      <c:layout>
        <c:manualLayout>
          <c:layoutTarget val="inner"/>
          <c:xMode val="edge"/>
          <c:yMode val="edge"/>
          <c:x val="0.227982283464567"/>
          <c:y val="0.0740740740740741"/>
          <c:w val="0.65626334208224"/>
          <c:h val="0.799648950131234"/>
        </c:manualLayout>
      </c:layout>
      <c:scatterChart>
        <c:scatterStyle val="smoothMarker"/>
        <c:ser>
          <c:idx val="0"/>
          <c:order val="0"/>
          <c:xVal>
            <c:numRef>
              <c:f>'Coupon Bond'!$A$7:$A$26</c:f>
              <c:numCache>
                <c:formatCode>General</c:formatCode>
                <c:ptCount val="20"/>
                <c:pt idx="0">
                  <c:v>0.5</c:v>
                </c:pt>
                <c:pt idx="1">
                  <c:v>1.0</c:v>
                </c:pt>
                <c:pt idx="2">
                  <c:v>1.5</c:v>
                </c:pt>
                <c:pt idx="3">
                  <c:v>2.0</c:v>
                </c:pt>
                <c:pt idx="4">
                  <c:v>2.5</c:v>
                </c:pt>
                <c:pt idx="5">
                  <c:v>3.0</c:v>
                </c:pt>
                <c:pt idx="6">
                  <c:v>3.5</c:v>
                </c:pt>
                <c:pt idx="7">
                  <c:v>4.0</c:v>
                </c:pt>
                <c:pt idx="8">
                  <c:v>4.5</c:v>
                </c:pt>
                <c:pt idx="9">
                  <c:v>5.0</c:v>
                </c:pt>
                <c:pt idx="10">
                  <c:v>5.5</c:v>
                </c:pt>
                <c:pt idx="11">
                  <c:v>6.0</c:v>
                </c:pt>
                <c:pt idx="12">
                  <c:v>6.5</c:v>
                </c:pt>
                <c:pt idx="13">
                  <c:v>7.0</c:v>
                </c:pt>
                <c:pt idx="14">
                  <c:v>7.5</c:v>
                </c:pt>
                <c:pt idx="15">
                  <c:v>8.0</c:v>
                </c:pt>
                <c:pt idx="16">
                  <c:v>8.5</c:v>
                </c:pt>
                <c:pt idx="17">
                  <c:v>9.0</c:v>
                </c:pt>
                <c:pt idx="18">
                  <c:v>9.5</c:v>
                </c:pt>
                <c:pt idx="19">
                  <c:v>10.0</c:v>
                </c:pt>
              </c:numCache>
            </c:numRef>
          </c:xVal>
          <c:yVal>
            <c:numRef>
              <c:f>'Coupon Bond'!$E$7:$E$26</c:f>
              <c:numCache>
                <c:formatCode>General</c:formatCode>
                <c:ptCount val="20"/>
                <c:pt idx="0">
                  <c:v>0.0202020202020203</c:v>
                </c:pt>
                <c:pt idx="1">
                  <c:v>0.0203050891044216</c:v>
                </c:pt>
                <c:pt idx="2">
                  <c:v>0.0214520960840598</c:v>
                </c:pt>
                <c:pt idx="3">
                  <c:v>0.0220971227209628</c:v>
                </c:pt>
                <c:pt idx="4">
                  <c:v>0.0223288078699602</c:v>
                </c:pt>
                <c:pt idx="5">
                  <c:v>0.0227091763313285</c:v>
                </c:pt>
                <c:pt idx="6">
                  <c:v>0.0227117615208368</c:v>
                </c:pt>
                <c:pt idx="7">
                  <c:v>0.0239118666689047</c:v>
                </c:pt>
                <c:pt idx="8">
                  <c:v>0.026064785505175</c:v>
                </c:pt>
                <c:pt idx="9">
                  <c:v>0.0262840888920883</c:v>
                </c:pt>
                <c:pt idx="10">
                  <c:v>0.0263300608989874</c:v>
                </c:pt>
                <c:pt idx="11">
                  <c:v>0.0267746484557603</c:v>
                </c:pt>
                <c:pt idx="12">
                  <c:v>0.0270042812336921</c:v>
                </c:pt>
                <c:pt idx="13">
                  <c:v>0.0272157011249816</c:v>
                </c:pt>
                <c:pt idx="14">
                  <c:v>0.0274624603779499</c:v>
                </c:pt>
                <c:pt idx="15">
                  <c:v>0.0280883553710272</c:v>
                </c:pt>
                <c:pt idx="16">
                  <c:v>0.0283033304113367</c:v>
                </c:pt>
                <c:pt idx="17">
                  <c:v>0.0285955675057936</c:v>
                </c:pt>
                <c:pt idx="18">
                  <c:v>0.0290977275698205</c:v>
                </c:pt>
                <c:pt idx="19">
                  <c:v>0.0298593525880655</c:v>
                </c:pt>
              </c:numCache>
            </c:numRef>
          </c:yVal>
          <c:smooth val="1"/>
        </c:ser>
        <c:axId val="70142424"/>
        <c:axId val="610938216"/>
      </c:scatterChart>
      <c:valAx>
        <c:axId val="70142424"/>
        <c:scaling>
          <c:orientation val="minMax"/>
        </c:scaling>
        <c:axPos val="b"/>
        <c:numFmt formatCode="General" sourceLinked="1"/>
        <c:tickLblPos val="nextTo"/>
        <c:crossAx val="610938216"/>
        <c:crosses val="autoZero"/>
        <c:crossBetween val="midCat"/>
      </c:valAx>
      <c:valAx>
        <c:axId val="610938216"/>
        <c:scaling>
          <c:orientation val="minMax"/>
        </c:scaling>
        <c:axPos val="l"/>
        <c:majorGridlines/>
        <c:numFmt formatCode="General" sourceLinked="1"/>
        <c:tickLblPos val="nextTo"/>
        <c:txPr>
          <a:bodyPr rot="0" vert="horz"/>
          <a:lstStyle/>
          <a:p>
            <a:pPr>
              <a:defRPr/>
            </a:pPr>
            <a:endParaRPr lang="en-US"/>
          </a:p>
        </c:txPr>
        <c:crossAx val="70142424"/>
        <c:crosses val="autoZero"/>
        <c:crossBetween val="midCat"/>
      </c:valAx>
    </c:plotArea>
    <c:plotVisOnly val="1"/>
  </c:chart>
  <c:printSettings>
    <c:headerFooter/>
    <c:pageMargins b="1.0" l="0.75" r="0.75" t="1.0" header="0.5" footer="0.5"/>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876300</xdr:colOff>
      <xdr:row>31</xdr:row>
      <xdr:rowOff>12700</xdr:rowOff>
    </xdr:from>
    <xdr:to>
      <xdr:col>7</xdr:col>
      <xdr:colOff>279400</xdr:colOff>
      <xdr:row>57</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P129"/>
  <sheetViews>
    <sheetView workbookViewId="0">
      <selection activeCell="G19" sqref="G19"/>
    </sheetView>
  </sheetViews>
  <sheetFormatPr baseColWidth="10" defaultRowHeight="13"/>
  <cols>
    <col min="2" max="2" width="14.7109375" customWidth="1"/>
    <col min="6" max="6" width="11.7109375" customWidth="1"/>
  </cols>
  <sheetData>
    <row r="1" spans="1:16" ht="16">
      <c r="A1" s="1" t="s">
        <v>129</v>
      </c>
      <c r="B1" s="1"/>
      <c r="C1" s="1"/>
      <c r="D1" s="1"/>
      <c r="E1" s="1"/>
      <c r="F1" s="1"/>
      <c r="G1" s="1"/>
      <c r="H1" s="1"/>
      <c r="I1" s="1"/>
      <c r="J1" s="1"/>
      <c r="K1" s="1"/>
      <c r="L1" s="1"/>
      <c r="M1" s="1"/>
      <c r="N1" s="1"/>
      <c r="O1" s="1"/>
      <c r="P1" s="1"/>
    </row>
    <row r="2" spans="1:16" ht="16">
      <c r="A2" s="1"/>
      <c r="B2" s="1" t="s">
        <v>130</v>
      </c>
      <c r="C2" s="1"/>
      <c r="D2" s="1"/>
      <c r="E2" s="1"/>
      <c r="F2" s="1"/>
      <c r="G2" s="1"/>
      <c r="H2" s="1"/>
      <c r="I2" s="1"/>
      <c r="J2" s="1"/>
      <c r="K2" s="1"/>
      <c r="L2" s="1"/>
      <c r="M2" s="1"/>
      <c r="N2" s="1"/>
      <c r="O2" s="1"/>
      <c r="P2" s="1"/>
    </row>
    <row r="3" spans="1:16" ht="16">
      <c r="A3" s="1"/>
      <c r="B3" s="1" t="s">
        <v>131</v>
      </c>
      <c r="C3" s="1"/>
      <c r="D3" s="1"/>
      <c r="E3" s="1"/>
      <c r="F3" s="1"/>
      <c r="G3" s="1"/>
      <c r="H3" s="1"/>
      <c r="I3" s="1"/>
      <c r="J3" s="1"/>
      <c r="K3" s="1"/>
      <c r="L3" s="1"/>
      <c r="M3" s="1"/>
      <c r="N3" s="1"/>
      <c r="O3" s="1"/>
      <c r="P3" s="1"/>
    </row>
    <row r="5" spans="1:16">
      <c r="A5" t="s">
        <v>193</v>
      </c>
    </row>
    <row r="6" spans="1:16">
      <c r="A6" t="s">
        <v>194</v>
      </c>
    </row>
    <row r="8" spans="1:16">
      <c r="A8" t="s">
        <v>149</v>
      </c>
    </row>
    <row r="9" spans="1:16">
      <c r="B9" t="s">
        <v>230</v>
      </c>
    </row>
    <row r="10" spans="1:16">
      <c r="B10" t="s">
        <v>231</v>
      </c>
    </row>
    <row r="11" spans="1:16">
      <c r="A11" t="s">
        <v>150</v>
      </c>
    </row>
    <row r="12" spans="1:16">
      <c r="B12" t="s">
        <v>151</v>
      </c>
    </row>
    <row r="14" spans="1:16">
      <c r="B14" t="s">
        <v>152</v>
      </c>
    </row>
    <row r="15" spans="1:16">
      <c r="B15" t="s">
        <v>153</v>
      </c>
    </row>
    <row r="17" spans="2:13">
      <c r="B17" t="s">
        <v>154</v>
      </c>
      <c r="E17" s="2">
        <v>100</v>
      </c>
      <c r="F17" t="s">
        <v>212</v>
      </c>
      <c r="I17" s="2">
        <v>97</v>
      </c>
      <c r="J17" t="s">
        <v>213</v>
      </c>
      <c r="K17" t="s">
        <v>262</v>
      </c>
      <c r="M17">
        <v>0.97</v>
      </c>
    </row>
    <row r="18" spans="2:13">
      <c r="C18" t="s">
        <v>261</v>
      </c>
      <c r="G18">
        <f>10000*M17</f>
        <v>9700</v>
      </c>
    </row>
    <row r="21" spans="2:13">
      <c r="B21" t="s">
        <v>214</v>
      </c>
      <c r="H21">
        <f>E17/I17-1</f>
        <v>3.0927835051546282E-2</v>
      </c>
      <c r="I21" t="s">
        <v>166</v>
      </c>
    </row>
    <row r="22" spans="2:13">
      <c r="J22" t="s">
        <v>167</v>
      </c>
    </row>
    <row r="23" spans="2:13">
      <c r="B23" t="s">
        <v>258</v>
      </c>
      <c r="F23" t="s">
        <v>195</v>
      </c>
      <c r="G23">
        <f>I17*(1+H21)</f>
        <v>99.999999999999986</v>
      </c>
    </row>
    <row r="25" spans="2:13">
      <c r="B25" t="s">
        <v>196</v>
      </c>
    </row>
    <row r="26" spans="2:13">
      <c r="B26" t="s">
        <v>232</v>
      </c>
      <c r="F26" t="s">
        <v>234</v>
      </c>
      <c r="G26">
        <v>94</v>
      </c>
      <c r="I26" t="s">
        <v>235</v>
      </c>
      <c r="K26">
        <v>100</v>
      </c>
    </row>
    <row r="27" spans="2:13">
      <c r="B27" t="s">
        <v>233</v>
      </c>
      <c r="E27">
        <f>SQRT(K26/G26)-1</f>
        <v>3.14212462587935E-2</v>
      </c>
    </row>
    <row r="29" spans="2:13">
      <c r="B29" t="s">
        <v>173</v>
      </c>
    </row>
    <row r="30" spans="2:13">
      <c r="C30" t="s">
        <v>174</v>
      </c>
      <c r="D30">
        <v>0</v>
      </c>
      <c r="E30">
        <v>1</v>
      </c>
      <c r="F30">
        <v>2</v>
      </c>
    </row>
    <row r="31" spans="2:13">
      <c r="C31" t="s">
        <v>175</v>
      </c>
      <c r="D31">
        <f>G26</f>
        <v>94</v>
      </c>
      <c r="E31">
        <f>D31*(1+E27)</f>
        <v>96.953597148326594</v>
      </c>
      <c r="F31">
        <f>E31*(1+E27)</f>
        <v>100.00000000000003</v>
      </c>
    </row>
    <row r="32" spans="2:13">
      <c r="D32" t="s">
        <v>176</v>
      </c>
      <c r="E32" t="s">
        <v>177</v>
      </c>
      <c r="F32" t="s">
        <v>178</v>
      </c>
    </row>
    <row r="33" spans="2:10">
      <c r="F33" s="3" t="s">
        <v>179</v>
      </c>
    </row>
    <row r="34" spans="2:10">
      <c r="B34" t="s">
        <v>264</v>
      </c>
    </row>
    <row r="40" spans="2:10">
      <c r="B40" t="s">
        <v>217</v>
      </c>
    </row>
    <row r="42" spans="2:10">
      <c r="B42" t="s">
        <v>259</v>
      </c>
    </row>
    <row r="44" spans="2:10">
      <c r="B44" t="s">
        <v>220</v>
      </c>
    </row>
    <row r="46" spans="2:10">
      <c r="B46" t="s">
        <v>238</v>
      </c>
    </row>
    <row r="47" spans="2:10">
      <c r="E47" t="s">
        <v>201</v>
      </c>
      <c r="G47">
        <v>0.03</v>
      </c>
      <c r="H47" t="s">
        <v>253</v>
      </c>
      <c r="J47">
        <v>12</v>
      </c>
    </row>
    <row r="48" spans="2:10">
      <c r="B48" t="s">
        <v>239</v>
      </c>
      <c r="C48" t="s">
        <v>240</v>
      </c>
      <c r="H48" t="s">
        <v>254</v>
      </c>
    </row>
    <row r="49" spans="1:8">
      <c r="B49">
        <v>0</v>
      </c>
      <c r="C49">
        <v>100</v>
      </c>
    </row>
    <row r="50" spans="1:8">
      <c r="B50">
        <v>1</v>
      </c>
      <c r="C50">
        <f>C49*(1+$G$47/$J$47)</f>
        <v>100.25</v>
      </c>
      <c r="D50" t="s">
        <v>255</v>
      </c>
    </row>
    <row r="51" spans="1:8">
      <c r="B51">
        <v>2</v>
      </c>
      <c r="C51">
        <f t="shared" ref="C51:C61" si="0">C50*(1+$G$47/$J$47)</f>
        <v>100.500625</v>
      </c>
      <c r="D51" t="s">
        <v>204</v>
      </c>
    </row>
    <row r="52" spans="1:8">
      <c r="B52">
        <v>3</v>
      </c>
      <c r="C52">
        <f t="shared" si="0"/>
        <v>100.75187656249999</v>
      </c>
    </row>
    <row r="53" spans="1:8">
      <c r="B53">
        <v>4</v>
      </c>
      <c r="C53">
        <f t="shared" si="0"/>
        <v>101.00375625390623</v>
      </c>
    </row>
    <row r="54" spans="1:8">
      <c r="B54">
        <v>5</v>
      </c>
      <c r="C54">
        <f t="shared" si="0"/>
        <v>101.25626564454099</v>
      </c>
    </row>
    <row r="55" spans="1:8">
      <c r="B55">
        <v>6</v>
      </c>
      <c r="C55">
        <f t="shared" si="0"/>
        <v>101.50940630865233</v>
      </c>
    </row>
    <row r="56" spans="1:8">
      <c r="B56">
        <v>7</v>
      </c>
      <c r="C56">
        <f t="shared" si="0"/>
        <v>101.76317982442396</v>
      </c>
    </row>
    <row r="57" spans="1:8">
      <c r="B57">
        <v>8</v>
      </c>
      <c r="C57">
        <f t="shared" si="0"/>
        <v>102.01758777398501</v>
      </c>
    </row>
    <row r="58" spans="1:8">
      <c r="B58">
        <v>9</v>
      </c>
      <c r="C58">
        <f t="shared" si="0"/>
        <v>102.27263174341996</v>
      </c>
    </row>
    <row r="59" spans="1:8">
      <c r="B59">
        <v>10</v>
      </c>
      <c r="C59">
        <f t="shared" si="0"/>
        <v>102.52831332277852</v>
      </c>
    </row>
    <row r="60" spans="1:8">
      <c r="B60">
        <v>11</v>
      </c>
      <c r="C60">
        <f t="shared" si="0"/>
        <v>102.78463410608546</v>
      </c>
    </row>
    <row r="61" spans="1:8">
      <c r="B61">
        <v>12</v>
      </c>
      <c r="C61">
        <f t="shared" si="0"/>
        <v>103.04159569135066</v>
      </c>
    </row>
    <row r="63" spans="1:8">
      <c r="A63" t="s">
        <v>246</v>
      </c>
      <c r="H63">
        <f>100*(1+H21)</f>
        <v>103.09278350515463</v>
      </c>
    </row>
    <row r="65" spans="1:5">
      <c r="A65" t="s">
        <v>206</v>
      </c>
    </row>
    <row r="66" spans="1:5">
      <c r="A66" t="s">
        <v>207</v>
      </c>
    </row>
    <row r="67" spans="1:5">
      <c r="B67" t="s">
        <v>148</v>
      </c>
      <c r="C67" t="s">
        <v>158</v>
      </c>
    </row>
    <row r="69" spans="1:5">
      <c r="A69" t="s">
        <v>192</v>
      </c>
      <c r="D69">
        <f>(1+G47/J47)^J47-1</f>
        <v>3.0415956913506736E-2</v>
      </c>
    </row>
    <row r="72" spans="1:5">
      <c r="A72" t="s">
        <v>156</v>
      </c>
    </row>
    <row r="73" spans="1:5">
      <c r="B73" t="s">
        <v>157</v>
      </c>
    </row>
    <row r="74" spans="1:5">
      <c r="B74" t="s">
        <v>159</v>
      </c>
      <c r="E74">
        <v>0.03</v>
      </c>
    </row>
    <row r="75" spans="1:5">
      <c r="B75" t="s">
        <v>160</v>
      </c>
      <c r="E75">
        <v>365</v>
      </c>
    </row>
    <row r="76" spans="1:5">
      <c r="B76" t="s">
        <v>161</v>
      </c>
      <c r="E76">
        <f>(1+E74/E75)^E75-1</f>
        <v>3.0453263600558333E-2</v>
      </c>
    </row>
    <row r="78" spans="1:5">
      <c r="A78" t="s">
        <v>209</v>
      </c>
    </row>
    <row r="80" spans="1:5">
      <c r="A80" t="s">
        <v>210</v>
      </c>
    </row>
    <row r="81" spans="1:12">
      <c r="A81" t="s">
        <v>211</v>
      </c>
    </row>
    <row r="83" spans="1:12">
      <c r="A83" t="s">
        <v>215</v>
      </c>
      <c r="C83" t="s">
        <v>216</v>
      </c>
    </row>
    <row r="85" spans="1:12">
      <c r="B85" t="s">
        <v>202</v>
      </c>
      <c r="K85">
        <f>EXP(E74)-1</f>
        <v>3.0454533953516938E-2</v>
      </c>
      <c r="L85" t="s">
        <v>203</v>
      </c>
    </row>
    <row r="87" spans="1:12">
      <c r="A87" t="s">
        <v>205</v>
      </c>
    </row>
    <row r="88" spans="1:12">
      <c r="B88" t="s">
        <v>272</v>
      </c>
    </row>
    <row r="90" spans="1:12">
      <c r="A90" t="s">
        <v>116</v>
      </c>
    </row>
    <row r="91" spans="1:12">
      <c r="B91" t="s">
        <v>273</v>
      </c>
      <c r="C91">
        <v>0</v>
      </c>
      <c r="D91">
        <v>0.5</v>
      </c>
    </row>
    <row r="92" spans="1:12">
      <c r="B92" t="s">
        <v>106</v>
      </c>
      <c r="C92">
        <v>98</v>
      </c>
      <c r="D92">
        <v>100</v>
      </c>
    </row>
    <row r="93" spans="1:12">
      <c r="C93" t="s">
        <v>176</v>
      </c>
      <c r="D93" t="s">
        <v>155</v>
      </c>
    </row>
    <row r="94" spans="1:12">
      <c r="B94" t="s">
        <v>111</v>
      </c>
      <c r="G94">
        <f>(D92/C92-1)*2</f>
        <v>4.081632653061229E-2</v>
      </c>
    </row>
    <row r="97" spans="1:6">
      <c r="A97" t="s">
        <v>274</v>
      </c>
    </row>
    <row r="107" spans="1:6">
      <c r="A107" t="s">
        <v>271</v>
      </c>
    </row>
    <row r="109" spans="1:6">
      <c r="A109" t="s">
        <v>299</v>
      </c>
    </row>
    <row r="110" spans="1:6">
      <c r="F110" t="s">
        <v>300</v>
      </c>
    </row>
    <row r="111" spans="1:6">
      <c r="F111" t="s">
        <v>301</v>
      </c>
    </row>
    <row r="112" spans="1:6">
      <c r="F112" t="s">
        <v>302</v>
      </c>
    </row>
    <row r="116" spans="1:2">
      <c r="A116" t="s">
        <v>247</v>
      </c>
    </row>
    <row r="117" spans="1:2">
      <c r="B117" t="s">
        <v>295</v>
      </c>
    </row>
    <row r="120" spans="1:2">
      <c r="A120" t="s">
        <v>248</v>
      </c>
    </row>
    <row r="121" spans="1:2">
      <c r="B121" t="s">
        <v>249</v>
      </c>
    </row>
    <row r="124" spans="1:2">
      <c r="A124" t="s">
        <v>291</v>
      </c>
    </row>
    <row r="126" spans="1:2">
      <c r="A126" t="s">
        <v>293</v>
      </c>
    </row>
    <row r="127" spans="1:2">
      <c r="A127" t="s">
        <v>294</v>
      </c>
    </row>
    <row r="129" spans="1:1">
      <c r="A129" t="s">
        <v>147</v>
      </c>
    </row>
  </sheetData>
  <sheetCalcPr fullCalcOnLoad="1"/>
  <phoneticPr fontId="3" type="noConversion"/>
  <pageMargins left="0.75" right="0.75" top="1" bottom="1" header="0.5" footer="0.5"/>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U159"/>
  <sheetViews>
    <sheetView topLeftCell="A142" workbookViewId="0">
      <selection activeCell="J37" sqref="J37"/>
    </sheetView>
  </sheetViews>
  <sheetFormatPr baseColWidth="10" defaultRowHeight="13"/>
  <cols>
    <col min="1" max="1" width="14.7109375" customWidth="1"/>
    <col min="3" max="3" width="13" customWidth="1"/>
    <col min="4" max="4" width="18.5703125" customWidth="1"/>
    <col min="5" max="5" width="15.140625" customWidth="1"/>
    <col min="12" max="12" width="11.28515625" customWidth="1"/>
  </cols>
  <sheetData>
    <row r="1" spans="1:13">
      <c r="A1" t="s">
        <v>260</v>
      </c>
    </row>
    <row r="3" spans="1:13">
      <c r="A3" t="s">
        <v>265</v>
      </c>
    </row>
    <row r="4" spans="1:13">
      <c r="A4" t="s">
        <v>266</v>
      </c>
      <c r="B4" s="4">
        <v>41592</v>
      </c>
      <c r="F4" t="s">
        <v>227</v>
      </c>
    </row>
    <row r="5" spans="1:13">
      <c r="D5" t="s">
        <v>224</v>
      </c>
      <c r="E5" t="s">
        <v>269</v>
      </c>
      <c r="F5" t="s">
        <v>228</v>
      </c>
    </row>
    <row r="6" spans="1:13">
      <c r="A6" t="s">
        <v>270</v>
      </c>
      <c r="B6" t="s">
        <v>267</v>
      </c>
      <c r="C6" t="s">
        <v>268</v>
      </c>
      <c r="D6" t="s">
        <v>225</v>
      </c>
      <c r="E6" t="s">
        <v>226</v>
      </c>
      <c r="F6" t="s">
        <v>184</v>
      </c>
      <c r="G6" s="3" t="s">
        <v>183</v>
      </c>
      <c r="I6" t="s">
        <v>229</v>
      </c>
      <c r="M6" t="s">
        <v>180</v>
      </c>
    </row>
    <row r="7" spans="1:13">
      <c r="A7">
        <v>0.5</v>
      </c>
      <c r="B7" s="4">
        <v>41773</v>
      </c>
      <c r="C7">
        <v>99</v>
      </c>
      <c r="D7">
        <f>LN(C7/100)/-A7</f>
        <v>2.0100671707002901E-2</v>
      </c>
      <c r="E7">
        <f>2*((100/C7)^(1/(2*A7))-1)</f>
        <v>2.0202020202020332E-2</v>
      </c>
      <c r="F7">
        <f>(1+E7/2)^2</f>
        <v>1.0203040506070811</v>
      </c>
      <c r="G7">
        <f>LN(F7)</f>
        <v>2.010067170700304E-2</v>
      </c>
      <c r="J7" t="s">
        <v>181</v>
      </c>
      <c r="M7" t="s">
        <v>182</v>
      </c>
    </row>
    <row r="8" spans="1:13">
      <c r="A8">
        <v>1</v>
      </c>
      <c r="B8" s="4">
        <v>41957</v>
      </c>
      <c r="C8">
        <v>98</v>
      </c>
      <c r="D8">
        <f t="shared" ref="D8:D26" si="0">LN(C8/100)/-A8</f>
        <v>2.0202707317519466E-2</v>
      </c>
      <c r="E8">
        <f t="shared" ref="E8:E26" si="1">2*((100/C8)^(1/(2*A8))-1)</f>
        <v>2.0305089104421636E-2</v>
      </c>
      <c r="F8">
        <f t="shared" ref="F8:F26" si="2">(1+E8/2)^2</f>
        <v>1.0204081632653064</v>
      </c>
      <c r="G8">
        <f t="shared" ref="G8:G26" si="3">LN(F8)</f>
        <v>2.0202707317519688E-2</v>
      </c>
    </row>
    <row r="9" spans="1:13">
      <c r="A9">
        <v>1.5</v>
      </c>
      <c r="B9" s="4">
        <v>42138</v>
      </c>
      <c r="C9">
        <v>96.85</v>
      </c>
      <c r="D9">
        <f t="shared" si="0"/>
        <v>2.1337864090057713E-2</v>
      </c>
      <c r="E9">
        <f t="shared" si="1"/>
        <v>2.1452096084059846E-2</v>
      </c>
      <c r="F9">
        <f t="shared" si="2"/>
        <v>1.0215671441906597</v>
      </c>
      <c r="G9">
        <f t="shared" si="3"/>
        <v>2.133786409005746E-2</v>
      </c>
    </row>
    <row r="10" spans="1:13">
      <c r="A10">
        <v>2</v>
      </c>
      <c r="B10" s="4">
        <v>42322</v>
      </c>
      <c r="C10">
        <v>95.7</v>
      </c>
      <c r="D10">
        <f t="shared" si="0"/>
        <v>2.1975943764591357E-2</v>
      </c>
      <c r="E10">
        <f t="shared" si="1"/>
        <v>2.2097122720962759E-2</v>
      </c>
      <c r="F10">
        <f t="shared" si="2"/>
        <v>1.0222191934290992</v>
      </c>
      <c r="G10">
        <f t="shared" si="3"/>
        <v>2.1975943764591409E-2</v>
      </c>
    </row>
    <row r="11" spans="1:13">
      <c r="A11">
        <v>2.5</v>
      </c>
      <c r="B11" s="4">
        <v>42504</v>
      </c>
      <c r="C11">
        <v>94.6</v>
      </c>
      <c r="D11">
        <f t="shared" si="0"/>
        <v>2.220508397210353E-2</v>
      </c>
      <c r="E11">
        <f t="shared" si="1"/>
        <v>2.2328807869960166E-2</v>
      </c>
      <c r="F11">
        <f t="shared" si="2"/>
        <v>1.0224534517851835</v>
      </c>
      <c r="G11">
        <f t="shared" si="3"/>
        <v>2.2205083972103506E-2</v>
      </c>
    </row>
    <row r="12" spans="1:13">
      <c r="A12">
        <v>3</v>
      </c>
      <c r="B12" s="4">
        <v>42688</v>
      </c>
      <c r="C12">
        <v>93.45</v>
      </c>
      <c r="D12">
        <f t="shared" si="0"/>
        <v>2.2581217362173178E-2</v>
      </c>
      <c r="E12">
        <f t="shared" si="1"/>
        <v>2.2709176331328518E-2</v>
      </c>
      <c r="F12">
        <f t="shared" si="2"/>
        <v>1.0228381030037403</v>
      </c>
      <c r="G12">
        <f t="shared" si="3"/>
        <v>2.2581217362173084E-2</v>
      </c>
      <c r="I12" t="s">
        <v>241</v>
      </c>
    </row>
    <row r="13" spans="1:13">
      <c r="A13">
        <v>3.5</v>
      </c>
      <c r="B13" s="4">
        <v>42869</v>
      </c>
      <c r="C13">
        <v>92.4</v>
      </c>
      <c r="D13">
        <f t="shared" si="0"/>
        <v>2.2583773525843672E-2</v>
      </c>
      <c r="E13">
        <f t="shared" si="1"/>
        <v>2.271176152083676E-2</v>
      </c>
      <c r="F13">
        <f t="shared" si="2"/>
        <v>1.0228407175486816</v>
      </c>
      <c r="G13">
        <f t="shared" si="3"/>
        <v>2.2583773525843499E-2</v>
      </c>
    </row>
    <row r="14" spans="1:13">
      <c r="A14">
        <v>4</v>
      </c>
      <c r="B14" s="4">
        <v>43053</v>
      </c>
      <c r="C14">
        <v>90.93</v>
      </c>
      <c r="D14">
        <f t="shared" si="0"/>
        <v>2.3770051562567444E-2</v>
      </c>
      <c r="E14">
        <f t="shared" si="1"/>
        <v>2.3911866668904658E-2</v>
      </c>
      <c r="F14">
        <f t="shared" si="2"/>
        <v>1.0240548110108025</v>
      </c>
      <c r="G14">
        <f t="shared" si="3"/>
        <v>2.3770051562567451E-2</v>
      </c>
    </row>
    <row r="15" spans="1:13">
      <c r="A15">
        <v>4.5</v>
      </c>
      <c r="B15" s="4">
        <v>43234</v>
      </c>
      <c r="C15">
        <v>89</v>
      </c>
      <c r="D15">
        <f t="shared" si="0"/>
        <v>2.5896403612433668E-2</v>
      </c>
      <c r="E15">
        <f t="shared" si="1"/>
        <v>2.6064785505174992E-2</v>
      </c>
      <c r="F15">
        <f t="shared" si="2"/>
        <v>1.0262346287660327</v>
      </c>
      <c r="G15">
        <f t="shared" si="3"/>
        <v>2.5896403612433574E-2</v>
      </c>
    </row>
    <row r="16" spans="1:13">
      <c r="A16">
        <v>5</v>
      </c>
      <c r="B16" s="4">
        <v>43418</v>
      </c>
      <c r="C16">
        <v>87.76</v>
      </c>
      <c r="D16">
        <f t="shared" si="0"/>
        <v>2.6112874004223303E-2</v>
      </c>
      <c r="E16">
        <f t="shared" si="1"/>
        <v>2.6284088892088331E-2</v>
      </c>
      <c r="F16">
        <f t="shared" si="2"/>
        <v>1.0264568022243101</v>
      </c>
      <c r="G16">
        <f t="shared" si="3"/>
        <v>2.6112874004223394E-2</v>
      </c>
    </row>
    <row r="17" spans="1:7">
      <c r="A17">
        <v>5.5</v>
      </c>
      <c r="B17" s="4">
        <v>43599</v>
      </c>
      <c r="C17">
        <v>86.6</v>
      </c>
      <c r="D17">
        <f t="shared" si="0"/>
        <v>2.6158249167218529E-2</v>
      </c>
      <c r="E17">
        <f t="shared" si="1"/>
        <v>2.6330060898987373E-2</v>
      </c>
      <c r="F17">
        <f t="shared" si="2"/>
        <v>1.0265033789257234</v>
      </c>
      <c r="G17">
        <f t="shared" si="3"/>
        <v>2.6158249167218695E-2</v>
      </c>
    </row>
    <row r="18" spans="1:7">
      <c r="A18">
        <v>6</v>
      </c>
      <c r="B18" s="4">
        <v>43783</v>
      </c>
      <c r="C18">
        <v>85.25</v>
      </c>
      <c r="D18">
        <f t="shared" si="0"/>
        <v>2.659701163741086E-2</v>
      </c>
      <c r="E18">
        <f t="shared" si="1"/>
        <v>2.6774648455760275E-2</v>
      </c>
      <c r="F18">
        <f t="shared" si="2"/>
        <v>1.0269538689057427</v>
      </c>
      <c r="G18">
        <f t="shared" si="3"/>
        <v>2.6597011637410954E-2</v>
      </c>
    </row>
    <row r="19" spans="1:7">
      <c r="A19">
        <v>6.5</v>
      </c>
      <c r="B19" s="4">
        <v>43965</v>
      </c>
      <c r="C19">
        <v>84</v>
      </c>
      <c r="D19">
        <f t="shared" si="0"/>
        <v>2.6823598022273507E-2</v>
      </c>
      <c r="E19">
        <f t="shared" si="1"/>
        <v>2.700428123369214E-2</v>
      </c>
      <c r="F19">
        <f t="shared" si="2"/>
        <v>1.0271865890349292</v>
      </c>
      <c r="G19">
        <f t="shared" si="3"/>
        <v>2.6823598022273364E-2</v>
      </c>
    </row>
    <row r="20" spans="1:7">
      <c r="A20">
        <v>7</v>
      </c>
      <c r="B20" s="4">
        <v>44149</v>
      </c>
      <c r="C20">
        <v>82.76</v>
      </c>
      <c r="D20">
        <f t="shared" si="0"/>
        <v>2.7032190444392725E-2</v>
      </c>
      <c r="E20">
        <f t="shared" si="1"/>
        <v>2.7215701124981617E-2</v>
      </c>
      <c r="F20">
        <f t="shared" si="2"/>
        <v>1.0274008747219128</v>
      </c>
      <c r="G20">
        <f t="shared" si="3"/>
        <v>2.7032190444392708E-2</v>
      </c>
    </row>
    <row r="21" spans="1:7">
      <c r="A21">
        <v>7.5</v>
      </c>
      <c r="B21" s="4">
        <v>44330</v>
      </c>
      <c r="C21">
        <v>81.5</v>
      </c>
      <c r="D21">
        <f t="shared" si="0"/>
        <v>2.7275622098836588E-2</v>
      </c>
      <c r="E21">
        <f t="shared" si="1"/>
        <v>2.746246037794986E-2</v>
      </c>
      <c r="F21">
        <f t="shared" si="2"/>
        <v>1.0276510070604525</v>
      </c>
      <c r="G21">
        <f t="shared" si="3"/>
        <v>2.7275622098836428E-2</v>
      </c>
    </row>
    <row r="22" spans="1:7">
      <c r="A22">
        <v>8</v>
      </c>
      <c r="B22" s="4">
        <v>44514</v>
      </c>
      <c r="C22">
        <v>80</v>
      </c>
      <c r="D22">
        <f t="shared" si="0"/>
        <v>2.7892943914276214E-2</v>
      </c>
      <c r="E22">
        <f t="shared" si="1"/>
        <v>2.8088355371027163E-2</v>
      </c>
      <c r="F22">
        <f t="shared" si="2"/>
        <v>1.0282855942978895</v>
      </c>
      <c r="G22">
        <f t="shared" si="3"/>
        <v>2.789294391427603E-2</v>
      </c>
    </row>
    <row r="23" spans="1:7">
      <c r="A23">
        <v>8.5</v>
      </c>
      <c r="B23" s="4">
        <v>44695</v>
      </c>
      <c r="C23">
        <v>78.75</v>
      </c>
      <c r="D23">
        <f t="shared" si="0"/>
        <v>2.8104930386158702E-2</v>
      </c>
      <c r="E23">
        <f t="shared" si="1"/>
        <v>2.8303330411336702E-2</v>
      </c>
      <c r="F23">
        <f t="shared" si="2"/>
        <v>1.0285036000394301</v>
      </c>
      <c r="G23">
        <f t="shared" si="3"/>
        <v>2.8104930386158741E-2</v>
      </c>
    </row>
    <row r="24" spans="1:7">
      <c r="A24">
        <v>9</v>
      </c>
      <c r="B24" s="4">
        <v>44879</v>
      </c>
      <c r="C24">
        <v>77.45</v>
      </c>
      <c r="D24">
        <f t="shared" si="0"/>
        <v>2.8393068791690401E-2</v>
      </c>
      <c r="E24">
        <f t="shared" si="1"/>
        <v>2.8595567505793618E-2</v>
      </c>
      <c r="F24">
        <f t="shared" si="2"/>
        <v>1.0287999941260382</v>
      </c>
      <c r="G24">
        <f t="shared" si="3"/>
        <v>2.8393068791690439E-2</v>
      </c>
    </row>
    <row r="25" spans="1:7">
      <c r="A25">
        <v>9.5</v>
      </c>
      <c r="B25" s="4">
        <v>45060</v>
      </c>
      <c r="C25">
        <v>76</v>
      </c>
      <c r="D25">
        <f t="shared" si="0"/>
        <v>2.8888089021237927E-2</v>
      </c>
      <c r="E25">
        <f t="shared" si="1"/>
        <v>2.9097727569820542E-2</v>
      </c>
      <c r="F25">
        <f t="shared" si="2"/>
        <v>1.0293093970072524</v>
      </c>
      <c r="G25">
        <f t="shared" si="3"/>
        <v>2.8888089021238079E-2</v>
      </c>
    </row>
    <row r="26" spans="1:7">
      <c r="A26">
        <v>10</v>
      </c>
      <c r="B26" s="4">
        <v>45244</v>
      </c>
      <c r="C26">
        <v>74.349999999999994</v>
      </c>
      <c r="D26">
        <f t="shared" si="0"/>
        <v>2.9638651308192737E-2</v>
      </c>
      <c r="E26">
        <f t="shared" si="1"/>
        <v>2.9859352588065491E-2</v>
      </c>
      <c r="F26">
        <f t="shared" si="2"/>
        <v>1.0300822478223102</v>
      </c>
      <c r="G26">
        <f t="shared" si="3"/>
        <v>2.9638651308192897E-2</v>
      </c>
    </row>
    <row r="29" spans="1:7">
      <c r="A29" t="s">
        <v>242</v>
      </c>
    </row>
    <row r="36" spans="6:6">
      <c r="F36" s="5"/>
    </row>
    <row r="64" spans="1:1">
      <c r="A64" t="s">
        <v>244</v>
      </c>
    </row>
    <row r="65" spans="1:6">
      <c r="A65" t="s">
        <v>243</v>
      </c>
      <c r="F65">
        <v>2.75E-2</v>
      </c>
    </row>
    <row r="66" spans="1:6">
      <c r="A66" t="s">
        <v>245</v>
      </c>
    </row>
    <row r="67" spans="1:6">
      <c r="A67" t="s">
        <v>250</v>
      </c>
    </row>
    <row r="68" spans="1:6">
      <c r="A68" t="s">
        <v>251</v>
      </c>
      <c r="B68" t="s">
        <v>252</v>
      </c>
      <c r="C68" t="s">
        <v>269</v>
      </c>
      <c r="D68" t="s">
        <v>218</v>
      </c>
      <c r="E68" t="s">
        <v>219</v>
      </c>
    </row>
    <row r="69" spans="1:6">
      <c r="A69">
        <v>0.5</v>
      </c>
      <c r="B69">
        <f>0.5*100*$F$65</f>
        <v>1.375</v>
      </c>
      <c r="C69">
        <f>E7</f>
        <v>2.0202020202020332E-2</v>
      </c>
      <c r="D69">
        <f>(1+C69/2)^(-2*A69)</f>
        <v>0.99</v>
      </c>
      <c r="E69">
        <f>B69*D69</f>
        <v>1.3612500000000001</v>
      </c>
    </row>
    <row r="70" spans="1:6">
      <c r="A70">
        <v>1</v>
      </c>
      <c r="B70">
        <f t="shared" ref="B70:B87" si="4">0.5*100*$F$65</f>
        <v>1.375</v>
      </c>
      <c r="C70">
        <f t="shared" ref="C70:C88" si="5">E8</f>
        <v>2.0305089104421636E-2</v>
      </c>
      <c r="D70">
        <f t="shared" ref="D70:D88" si="6">(1+C70/2)^(-2*A70)</f>
        <v>0.97999999999999976</v>
      </c>
      <c r="E70">
        <f t="shared" ref="E70:E88" si="7">B70*D70</f>
        <v>1.3474999999999997</v>
      </c>
    </row>
    <row r="71" spans="1:6">
      <c r="A71">
        <v>1.5</v>
      </c>
      <c r="B71">
        <f t="shared" si="4"/>
        <v>1.375</v>
      </c>
      <c r="C71">
        <f t="shared" si="5"/>
        <v>2.1452096084059846E-2</v>
      </c>
      <c r="D71">
        <f t="shared" si="6"/>
        <v>0.96850000000000036</v>
      </c>
      <c r="E71">
        <f t="shared" si="7"/>
        <v>1.3316875000000006</v>
      </c>
    </row>
    <row r="72" spans="1:6">
      <c r="A72">
        <v>2</v>
      </c>
      <c r="B72">
        <f t="shared" si="4"/>
        <v>1.375</v>
      </c>
      <c r="C72">
        <f t="shared" si="5"/>
        <v>2.2097122720962759E-2</v>
      </c>
      <c r="D72">
        <f t="shared" si="6"/>
        <v>0.95700000000000007</v>
      </c>
      <c r="E72">
        <f t="shared" si="7"/>
        <v>1.3158750000000001</v>
      </c>
    </row>
    <row r="73" spans="1:6">
      <c r="A73">
        <v>2.5</v>
      </c>
      <c r="B73">
        <f t="shared" si="4"/>
        <v>1.375</v>
      </c>
      <c r="C73">
        <f t="shared" si="5"/>
        <v>2.2328807869960166E-2</v>
      </c>
      <c r="D73">
        <f t="shared" si="6"/>
        <v>0.94599999999999984</v>
      </c>
      <c r="E73">
        <f t="shared" si="7"/>
        <v>1.3007499999999999</v>
      </c>
    </row>
    <row r="74" spans="1:6">
      <c r="A74">
        <v>3</v>
      </c>
      <c r="B74">
        <f t="shared" si="4"/>
        <v>1.375</v>
      </c>
      <c r="C74">
        <f t="shared" si="5"/>
        <v>2.2709176331328518E-2</v>
      </c>
      <c r="D74">
        <f t="shared" si="6"/>
        <v>0.93450000000000011</v>
      </c>
      <c r="E74">
        <f t="shared" si="7"/>
        <v>1.2849375000000001</v>
      </c>
    </row>
    <row r="75" spans="1:6">
      <c r="A75">
        <v>3.5</v>
      </c>
      <c r="B75">
        <f t="shared" si="4"/>
        <v>1.375</v>
      </c>
      <c r="C75">
        <f t="shared" si="5"/>
        <v>2.271176152083676E-2</v>
      </c>
      <c r="D75">
        <f t="shared" si="6"/>
        <v>0.9240000000000006</v>
      </c>
      <c r="E75">
        <f t="shared" si="7"/>
        <v>1.2705000000000009</v>
      </c>
    </row>
    <row r="76" spans="1:6">
      <c r="A76">
        <v>4</v>
      </c>
      <c r="B76">
        <f t="shared" si="4"/>
        <v>1.375</v>
      </c>
      <c r="C76">
        <f t="shared" si="5"/>
        <v>2.3911866668904658E-2</v>
      </c>
      <c r="D76">
        <f t="shared" si="6"/>
        <v>0.90930000000000022</v>
      </c>
      <c r="E76">
        <f t="shared" si="7"/>
        <v>1.2502875000000002</v>
      </c>
    </row>
    <row r="77" spans="1:6">
      <c r="A77">
        <v>4.5</v>
      </c>
      <c r="B77">
        <f t="shared" si="4"/>
        <v>1.375</v>
      </c>
      <c r="C77">
        <f t="shared" si="5"/>
        <v>2.6064785505174992E-2</v>
      </c>
      <c r="D77">
        <f t="shared" si="6"/>
        <v>0.89000000000000046</v>
      </c>
      <c r="E77">
        <f t="shared" si="7"/>
        <v>1.2237500000000006</v>
      </c>
    </row>
    <row r="78" spans="1:6">
      <c r="A78">
        <v>5</v>
      </c>
      <c r="B78">
        <f t="shared" si="4"/>
        <v>1.375</v>
      </c>
      <c r="C78">
        <f t="shared" si="5"/>
        <v>2.6284088892088331E-2</v>
      </c>
      <c r="D78">
        <f t="shared" si="6"/>
        <v>0.87759999999999938</v>
      </c>
      <c r="E78">
        <f t="shared" si="7"/>
        <v>1.2066999999999992</v>
      </c>
    </row>
    <row r="79" spans="1:6">
      <c r="A79">
        <v>5.5</v>
      </c>
      <c r="B79">
        <f t="shared" si="4"/>
        <v>1.375</v>
      </c>
      <c r="C79">
        <f t="shared" si="5"/>
        <v>2.6330060898987373E-2</v>
      </c>
      <c r="D79">
        <f t="shared" si="6"/>
        <v>0.86599999999999955</v>
      </c>
      <c r="E79">
        <f t="shared" si="7"/>
        <v>1.1907499999999993</v>
      </c>
    </row>
    <row r="80" spans="1:6">
      <c r="A80">
        <v>6</v>
      </c>
      <c r="B80">
        <f t="shared" si="4"/>
        <v>1.375</v>
      </c>
      <c r="C80">
        <f t="shared" si="5"/>
        <v>2.6774648455760275E-2</v>
      </c>
      <c r="D80">
        <f t="shared" si="6"/>
        <v>0.85249999999999948</v>
      </c>
      <c r="E80">
        <f t="shared" si="7"/>
        <v>1.1721874999999993</v>
      </c>
    </row>
    <row r="81" spans="1:5">
      <c r="A81">
        <v>6.5</v>
      </c>
      <c r="B81">
        <f t="shared" si="4"/>
        <v>1.375</v>
      </c>
      <c r="C81">
        <f t="shared" si="5"/>
        <v>2.700428123369214E-2</v>
      </c>
      <c r="D81">
        <f t="shared" si="6"/>
        <v>0.84000000000000097</v>
      </c>
      <c r="E81">
        <f t="shared" si="7"/>
        <v>1.1550000000000014</v>
      </c>
    </row>
    <row r="82" spans="1:5">
      <c r="A82">
        <v>7</v>
      </c>
      <c r="B82">
        <f t="shared" si="4"/>
        <v>1.375</v>
      </c>
      <c r="C82">
        <f t="shared" si="5"/>
        <v>2.7215701124981617E-2</v>
      </c>
      <c r="D82">
        <f t="shared" si="6"/>
        <v>0.82759999999999989</v>
      </c>
      <c r="E82">
        <f t="shared" si="7"/>
        <v>1.1379499999999998</v>
      </c>
    </row>
    <row r="83" spans="1:5">
      <c r="A83">
        <v>7.5</v>
      </c>
      <c r="B83">
        <f t="shared" si="4"/>
        <v>1.375</v>
      </c>
      <c r="C83">
        <f t="shared" si="5"/>
        <v>2.746246037794986E-2</v>
      </c>
      <c r="D83">
        <f t="shared" si="6"/>
        <v>0.81500000000000106</v>
      </c>
      <c r="E83">
        <f t="shared" si="7"/>
        <v>1.1206250000000015</v>
      </c>
    </row>
    <row r="84" spans="1:5">
      <c r="A84">
        <v>8</v>
      </c>
      <c r="B84">
        <f t="shared" si="4"/>
        <v>1.375</v>
      </c>
      <c r="C84">
        <f t="shared" si="5"/>
        <v>2.8088355371027163E-2</v>
      </c>
      <c r="D84">
        <f t="shared" si="6"/>
        <v>0.8000000000000016</v>
      </c>
      <c r="E84">
        <f t="shared" si="7"/>
        <v>1.1000000000000023</v>
      </c>
    </row>
    <row r="85" spans="1:5">
      <c r="A85">
        <v>8.5</v>
      </c>
      <c r="B85">
        <f t="shared" si="4"/>
        <v>1.375</v>
      </c>
      <c r="C85">
        <f t="shared" si="5"/>
        <v>2.8303330411336702E-2</v>
      </c>
      <c r="D85">
        <f t="shared" si="6"/>
        <v>0.78749999999999987</v>
      </c>
      <c r="E85">
        <f t="shared" si="7"/>
        <v>1.0828124999999997</v>
      </c>
    </row>
    <row r="86" spans="1:5">
      <c r="A86">
        <v>9</v>
      </c>
      <c r="B86">
        <f t="shared" si="4"/>
        <v>1.375</v>
      </c>
      <c r="C86">
        <f t="shared" si="5"/>
        <v>2.8595567505793618E-2</v>
      </c>
      <c r="D86">
        <f t="shared" si="6"/>
        <v>0.77449999999999941</v>
      </c>
      <c r="E86">
        <f t="shared" si="7"/>
        <v>1.0649374999999992</v>
      </c>
    </row>
    <row r="87" spans="1:5">
      <c r="A87">
        <v>9.5</v>
      </c>
      <c r="B87">
        <f t="shared" si="4"/>
        <v>1.375</v>
      </c>
      <c r="C87">
        <f t="shared" si="5"/>
        <v>2.9097727569820542E-2</v>
      </c>
      <c r="D87">
        <f t="shared" si="6"/>
        <v>0.75999999999999879</v>
      </c>
      <c r="E87">
        <f t="shared" si="7"/>
        <v>1.0449999999999984</v>
      </c>
    </row>
    <row r="88" spans="1:5">
      <c r="A88">
        <v>10</v>
      </c>
      <c r="B88">
        <f>0.5*100*$F$65+100</f>
        <v>101.375</v>
      </c>
      <c r="C88">
        <f t="shared" si="5"/>
        <v>2.9859352588065491E-2</v>
      </c>
      <c r="D88">
        <f t="shared" si="6"/>
        <v>0.7434999999999985</v>
      </c>
      <c r="E88">
        <f t="shared" si="7"/>
        <v>75.37231249999985</v>
      </c>
    </row>
    <row r="90" spans="1:5">
      <c r="E90">
        <f>SUM(E69:E88)</f>
        <v>98.334812499999856</v>
      </c>
    </row>
    <row r="93" spans="1:5">
      <c r="A93" t="s">
        <v>221</v>
      </c>
    </row>
    <row r="94" spans="1:5">
      <c r="A94" t="s">
        <v>222</v>
      </c>
    </row>
    <row r="96" spans="1:5">
      <c r="A96" t="s">
        <v>223</v>
      </c>
    </row>
    <row r="98" spans="1:21">
      <c r="A98" t="s">
        <v>172</v>
      </c>
    </row>
    <row r="99" spans="1:21">
      <c r="A99" t="s">
        <v>185</v>
      </c>
    </row>
    <row r="100" spans="1:21">
      <c r="A100" t="s">
        <v>188</v>
      </c>
      <c r="B100">
        <v>2.1999999999999999E-2</v>
      </c>
    </row>
    <row r="102" spans="1:21">
      <c r="A102" t="s">
        <v>186</v>
      </c>
      <c r="B102">
        <v>0.5</v>
      </c>
      <c r="C102">
        <v>1</v>
      </c>
      <c r="D102">
        <v>1.5</v>
      </c>
      <c r="E102">
        <v>2</v>
      </c>
      <c r="F102">
        <v>2.5</v>
      </c>
      <c r="G102">
        <v>3</v>
      </c>
      <c r="H102">
        <v>3.5</v>
      </c>
      <c r="I102">
        <v>4</v>
      </c>
      <c r="J102">
        <v>4.5</v>
      </c>
      <c r="K102">
        <v>5</v>
      </c>
      <c r="L102">
        <v>5.5</v>
      </c>
      <c r="M102">
        <v>6</v>
      </c>
      <c r="N102">
        <v>6.5</v>
      </c>
      <c r="O102">
        <v>7</v>
      </c>
      <c r="P102">
        <v>7.5</v>
      </c>
      <c r="Q102">
        <v>8</v>
      </c>
      <c r="R102">
        <v>8.5</v>
      </c>
      <c r="S102">
        <v>9</v>
      </c>
      <c r="T102">
        <v>9.5</v>
      </c>
      <c r="U102">
        <v>10</v>
      </c>
    </row>
    <row r="103" spans="1:21">
      <c r="A103" t="s">
        <v>187</v>
      </c>
      <c r="B103">
        <f>$F$65*100/2</f>
        <v>1.375</v>
      </c>
      <c r="C103">
        <f t="shared" ref="C103:T103" si="8">$F$65*100/2</f>
        <v>1.375</v>
      </c>
      <c r="D103">
        <f t="shared" si="8"/>
        <v>1.375</v>
      </c>
      <c r="E103">
        <f t="shared" si="8"/>
        <v>1.375</v>
      </c>
      <c r="F103">
        <f t="shared" si="8"/>
        <v>1.375</v>
      </c>
      <c r="G103">
        <f t="shared" si="8"/>
        <v>1.375</v>
      </c>
      <c r="H103">
        <f t="shared" si="8"/>
        <v>1.375</v>
      </c>
      <c r="I103">
        <f t="shared" si="8"/>
        <v>1.375</v>
      </c>
      <c r="J103">
        <f t="shared" si="8"/>
        <v>1.375</v>
      </c>
      <c r="K103">
        <f t="shared" si="8"/>
        <v>1.375</v>
      </c>
      <c r="L103">
        <f t="shared" si="8"/>
        <v>1.375</v>
      </c>
      <c r="M103">
        <f t="shared" si="8"/>
        <v>1.375</v>
      </c>
      <c r="N103">
        <f t="shared" si="8"/>
        <v>1.375</v>
      </c>
      <c r="O103">
        <f t="shared" si="8"/>
        <v>1.375</v>
      </c>
      <c r="P103">
        <f t="shared" si="8"/>
        <v>1.375</v>
      </c>
      <c r="Q103">
        <f t="shared" si="8"/>
        <v>1.375</v>
      </c>
      <c r="R103">
        <f t="shared" si="8"/>
        <v>1.375</v>
      </c>
      <c r="S103">
        <f t="shared" si="8"/>
        <v>1.375</v>
      </c>
      <c r="T103">
        <f t="shared" si="8"/>
        <v>1.375</v>
      </c>
      <c r="U103">
        <f>$F$65*100/2+100</f>
        <v>101.375</v>
      </c>
    </row>
    <row r="104" spans="1:21">
      <c r="A104" t="s">
        <v>190</v>
      </c>
      <c r="B104">
        <f>1/(1+$B$100/2)^(2*B102)</f>
        <v>0.98911968348170143</v>
      </c>
      <c r="C104">
        <f t="shared" ref="C104:U104" si="9">1/(1+$B$100/2)^(2*C102)</f>
        <v>0.97835774825094113</v>
      </c>
      <c r="D104">
        <f t="shared" si="9"/>
        <v>0.96771290628184092</v>
      </c>
      <c r="E104">
        <f t="shared" si="9"/>
        <v>0.95718388356265172</v>
      </c>
      <c r="F104">
        <f t="shared" si="9"/>
        <v>0.9467694199432759</v>
      </c>
      <c r="G104">
        <f t="shared" si="9"/>
        <v>0.93646826898444691</v>
      </c>
      <c r="H104">
        <f t="shared" si="9"/>
        <v>0.92627919780855283</v>
      </c>
      <c r="I104">
        <f t="shared" si="9"/>
        <v>0.91620098695208008</v>
      </c>
      <c r="J104">
        <f t="shared" si="9"/>
        <v>0.90623243021966382</v>
      </c>
      <c r="K104">
        <f t="shared" si="9"/>
        <v>0.89637233453972698</v>
      </c>
      <c r="L104">
        <f t="shared" si="9"/>
        <v>0.88661951982168841</v>
      </c>
      <c r="M104">
        <f t="shared" si="9"/>
        <v>0.87697281881472633</v>
      </c>
      <c r="N104">
        <f t="shared" si="9"/>
        <v>0.86743107696807775</v>
      </c>
      <c r="O104">
        <f t="shared" si="9"/>
        <v>0.85799315229285633</v>
      </c>
      <c r="P104">
        <f t="shared" si="9"/>
        <v>0.84865791522537726</v>
      </c>
      <c r="Q104">
        <f t="shared" si="9"/>
        <v>0.83942424849196573</v>
      </c>
      <c r="R104">
        <f t="shared" si="9"/>
        <v>0.83029104697523815</v>
      </c>
      <c r="S104">
        <f t="shared" si="9"/>
        <v>0.82125721758183801</v>
      </c>
      <c r="T104">
        <f t="shared" si="9"/>
        <v>0.81232167911161024</v>
      </c>
      <c r="U104">
        <f t="shared" si="9"/>
        <v>0.80348336212820015</v>
      </c>
    </row>
    <row r="105" spans="1:21">
      <c r="A105" t="s">
        <v>189</v>
      </c>
      <c r="B105">
        <f>B103*B104</f>
        <v>1.3600395647873396</v>
      </c>
      <c r="C105">
        <f t="shared" ref="C105:U105" si="10">C103*C104</f>
        <v>1.3452419038450441</v>
      </c>
      <c r="D105">
        <f t="shared" si="10"/>
        <v>1.3306052461375313</v>
      </c>
      <c r="E105">
        <f t="shared" si="10"/>
        <v>1.316127839898646</v>
      </c>
      <c r="F105">
        <f t="shared" si="10"/>
        <v>1.3018079524220043</v>
      </c>
      <c r="G105">
        <f t="shared" si="10"/>
        <v>1.2876438698536146</v>
      </c>
      <c r="H105">
        <f t="shared" si="10"/>
        <v>1.2736338969867602</v>
      </c>
      <c r="I105">
        <f t="shared" si="10"/>
        <v>1.2597763570591101</v>
      </c>
      <c r="J105">
        <f t="shared" si="10"/>
        <v>1.2460695915520377</v>
      </c>
      <c r="K105">
        <f t="shared" si="10"/>
        <v>1.2325119599921246</v>
      </c>
      <c r="L105">
        <f t="shared" si="10"/>
        <v>1.2191018397548214</v>
      </c>
      <c r="M105">
        <f t="shared" si="10"/>
        <v>1.2058376258702488</v>
      </c>
      <c r="N105">
        <f t="shared" si="10"/>
        <v>1.192717730831107</v>
      </c>
      <c r="O105">
        <f t="shared" si="10"/>
        <v>1.1797405844026774</v>
      </c>
      <c r="P105">
        <f t="shared" si="10"/>
        <v>1.1669046334348938</v>
      </c>
      <c r="Q105">
        <f t="shared" si="10"/>
        <v>1.1542083416764528</v>
      </c>
      <c r="R105">
        <f t="shared" si="10"/>
        <v>1.1416501895909525</v>
      </c>
      <c r="S105">
        <f t="shared" si="10"/>
        <v>1.1292286741750273</v>
      </c>
      <c r="T105">
        <f t="shared" si="10"/>
        <v>1.116942308778464</v>
      </c>
      <c r="U105">
        <f t="shared" si="10"/>
        <v>81.453125835746292</v>
      </c>
    </row>
    <row r="107" spans="1:21">
      <c r="A107" t="s">
        <v>191</v>
      </c>
      <c r="D107">
        <f>SUM(B105:U105)</f>
        <v>104.91291594679515</v>
      </c>
    </row>
    <row r="109" spans="1:21">
      <c r="A109" t="s">
        <v>198</v>
      </c>
      <c r="F109">
        <f>(D107-E90)^2</f>
        <v>43.271444956740162</v>
      </c>
    </row>
    <row r="111" spans="1:21">
      <c r="A111" t="s">
        <v>199</v>
      </c>
    </row>
    <row r="112" spans="1:21">
      <c r="A112" t="s">
        <v>200</v>
      </c>
    </row>
    <row r="115" spans="1:6">
      <c r="A115" t="s">
        <v>82</v>
      </c>
      <c r="F115" t="s">
        <v>133</v>
      </c>
    </row>
    <row r="117" spans="1:6">
      <c r="A117" t="s">
        <v>86</v>
      </c>
      <c r="F117" s="4"/>
    </row>
    <row r="118" spans="1:6">
      <c r="A118" t="s">
        <v>85</v>
      </c>
      <c r="B118" t="s">
        <v>83</v>
      </c>
      <c r="C118" t="s">
        <v>84</v>
      </c>
    </row>
    <row r="119" spans="1:6">
      <c r="A119">
        <v>1</v>
      </c>
      <c r="B119" s="8">
        <v>41773</v>
      </c>
      <c r="C119">
        <v>99.63</v>
      </c>
    </row>
    <row r="120" spans="1:6">
      <c r="A120">
        <v>2</v>
      </c>
      <c r="B120" s="8">
        <v>41865</v>
      </c>
      <c r="C120">
        <v>99.21</v>
      </c>
    </row>
    <row r="121" spans="1:6">
      <c r="A121">
        <v>3</v>
      </c>
      <c r="B121" s="8">
        <v>41957</v>
      </c>
      <c r="C121">
        <v>98.74</v>
      </c>
    </row>
    <row r="122" spans="1:6">
      <c r="A122">
        <v>4</v>
      </c>
      <c r="B122" s="8">
        <v>42049</v>
      </c>
      <c r="C122">
        <v>98.2</v>
      </c>
    </row>
    <row r="123" spans="1:6">
      <c r="A123">
        <v>5</v>
      </c>
      <c r="B123" s="8">
        <v>42138</v>
      </c>
      <c r="C123">
        <v>97.66</v>
      </c>
    </row>
    <row r="124" spans="1:6">
      <c r="A124">
        <v>6</v>
      </c>
      <c r="B124" s="8">
        <v>42230</v>
      </c>
      <c r="C124">
        <v>97.06</v>
      </c>
    </row>
    <row r="125" spans="1:6">
      <c r="A125">
        <v>7</v>
      </c>
      <c r="B125" s="8">
        <v>42322</v>
      </c>
      <c r="C125">
        <v>96.33</v>
      </c>
    </row>
    <row r="126" spans="1:6">
      <c r="A126">
        <v>8</v>
      </c>
      <c r="B126" s="8">
        <v>42414</v>
      </c>
      <c r="C126">
        <v>95.72</v>
      </c>
    </row>
    <row r="127" spans="1:6">
      <c r="A127">
        <v>9</v>
      </c>
      <c r="B127" s="8">
        <v>42504</v>
      </c>
      <c r="C127">
        <v>95.2</v>
      </c>
    </row>
    <row r="128" spans="1:6">
      <c r="A128">
        <v>10</v>
      </c>
      <c r="B128" s="8">
        <v>42596</v>
      </c>
      <c r="C128">
        <v>93.98</v>
      </c>
    </row>
    <row r="129" spans="1:3">
      <c r="A129">
        <v>11</v>
      </c>
      <c r="B129" s="8">
        <v>42688</v>
      </c>
      <c r="C129">
        <v>92.14</v>
      </c>
    </row>
    <row r="130" spans="1:3">
      <c r="A130">
        <v>12</v>
      </c>
      <c r="B130" s="8">
        <v>42780</v>
      </c>
      <c r="C130">
        <v>91.18</v>
      </c>
    </row>
    <row r="131" spans="1:3">
      <c r="A131">
        <v>13</v>
      </c>
      <c r="B131" s="8">
        <v>42869</v>
      </c>
      <c r="C131">
        <v>90.2</v>
      </c>
    </row>
    <row r="132" spans="1:3">
      <c r="A132">
        <v>14</v>
      </c>
      <c r="B132" s="8">
        <v>42961</v>
      </c>
      <c r="C132">
        <v>89.18</v>
      </c>
    </row>
    <row r="133" spans="1:3">
      <c r="A133">
        <v>15</v>
      </c>
      <c r="B133" s="8">
        <v>43053</v>
      </c>
      <c r="C133">
        <v>88.12</v>
      </c>
    </row>
    <row r="134" spans="1:3">
      <c r="A134">
        <v>16</v>
      </c>
      <c r="B134" s="8">
        <v>43145</v>
      </c>
      <c r="C134">
        <v>87.04</v>
      </c>
    </row>
    <row r="135" spans="1:3">
      <c r="A135">
        <v>17</v>
      </c>
      <c r="B135" s="8">
        <v>43234</v>
      </c>
      <c r="C135">
        <v>85.93</v>
      </c>
    </row>
    <row r="136" spans="1:3">
      <c r="A136">
        <v>18</v>
      </c>
      <c r="B136" s="8">
        <v>43326</v>
      </c>
      <c r="C136">
        <v>85.17</v>
      </c>
    </row>
    <row r="137" spans="1:3">
      <c r="A137">
        <v>19</v>
      </c>
      <c r="B137" s="8">
        <v>43418</v>
      </c>
      <c r="C137">
        <v>84.02</v>
      </c>
    </row>
    <row r="138" spans="1:3">
      <c r="A138">
        <v>20</v>
      </c>
      <c r="B138" s="8">
        <v>43510</v>
      </c>
      <c r="C138">
        <v>83.05</v>
      </c>
    </row>
    <row r="139" spans="1:3">
      <c r="A139">
        <v>21</v>
      </c>
      <c r="B139" s="8">
        <v>43599</v>
      </c>
      <c r="C139">
        <v>82.07</v>
      </c>
    </row>
    <row r="140" spans="1:3">
      <c r="A140">
        <v>22</v>
      </c>
      <c r="B140" s="8">
        <v>43691</v>
      </c>
      <c r="C140">
        <v>81.3</v>
      </c>
    </row>
    <row r="141" spans="1:3">
      <c r="A141">
        <v>23</v>
      </c>
      <c r="B141" s="8">
        <v>43783</v>
      </c>
      <c r="C141">
        <v>80.540000000000006</v>
      </c>
    </row>
    <row r="142" spans="1:3">
      <c r="A142">
        <v>24</v>
      </c>
      <c r="B142" s="8">
        <v>43875</v>
      </c>
      <c r="C142">
        <v>79.55</v>
      </c>
    </row>
    <row r="143" spans="1:3">
      <c r="A143">
        <v>25</v>
      </c>
      <c r="B143" s="8">
        <v>43965</v>
      </c>
      <c r="C143">
        <v>78.55</v>
      </c>
    </row>
    <row r="144" spans="1:3">
      <c r="A144">
        <v>26</v>
      </c>
      <c r="B144" s="8">
        <v>44057</v>
      </c>
      <c r="C144">
        <v>77.55</v>
      </c>
    </row>
    <row r="145" spans="1:3">
      <c r="A145">
        <v>27</v>
      </c>
      <c r="B145" s="8">
        <v>44149</v>
      </c>
      <c r="C145">
        <v>76.540000000000006</v>
      </c>
    </row>
    <row r="146" spans="1:3">
      <c r="A146">
        <v>28</v>
      </c>
      <c r="B146" s="8">
        <v>44241</v>
      </c>
      <c r="C146">
        <v>75.790000000000006</v>
      </c>
    </row>
    <row r="147" spans="1:3">
      <c r="A147">
        <v>29</v>
      </c>
      <c r="B147" s="8">
        <v>44330</v>
      </c>
      <c r="C147">
        <v>75.040000000000006</v>
      </c>
    </row>
    <row r="148" spans="1:3">
      <c r="A148">
        <v>30</v>
      </c>
      <c r="B148" s="8">
        <v>44422</v>
      </c>
      <c r="C148">
        <v>74.3</v>
      </c>
    </row>
    <row r="152" spans="1:3">
      <c r="A152" t="s">
        <v>132</v>
      </c>
    </row>
    <row r="153" spans="1:3">
      <c r="A153" t="s">
        <v>125</v>
      </c>
    </row>
    <row r="154" spans="1:3">
      <c r="A154" t="s">
        <v>126</v>
      </c>
    </row>
    <row r="156" spans="1:3">
      <c r="A156" t="s">
        <v>127</v>
      </c>
    </row>
    <row r="157" spans="1:3">
      <c r="A157" t="s">
        <v>123</v>
      </c>
    </row>
    <row r="158" spans="1:3">
      <c r="A158" t="s">
        <v>90</v>
      </c>
    </row>
    <row r="159" spans="1:3">
      <c r="A159" t="s">
        <v>124</v>
      </c>
    </row>
  </sheetData>
  <sheetCalcPr fullCalcOnLoad="1"/>
  <phoneticPr fontId="3" type="noConversion"/>
  <pageMargins left="0.75" right="0.75" top="1" bottom="1" header="0.5" footer="0.5"/>
  <drawing r:id="rId1"/>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CX147"/>
  <sheetViews>
    <sheetView workbookViewId="0">
      <selection activeCell="A147" sqref="A147"/>
    </sheetView>
  </sheetViews>
  <sheetFormatPr baseColWidth="10" defaultRowHeight="13"/>
  <cols>
    <col min="2" max="2" width="12.7109375" customWidth="1"/>
    <col min="3" max="3" width="11" bestFit="1" customWidth="1"/>
    <col min="6" max="6" width="14" customWidth="1"/>
    <col min="10" max="10" width="11.28515625" bestFit="1" customWidth="1"/>
  </cols>
  <sheetData>
    <row r="1" spans="1:102">
      <c r="A1" t="s">
        <v>208</v>
      </c>
    </row>
    <row r="3" spans="1:102">
      <c r="A3" t="s">
        <v>303</v>
      </c>
    </row>
    <row r="4" spans="1:102">
      <c r="A4" t="s">
        <v>304</v>
      </c>
    </row>
    <row r="5" spans="1:102">
      <c r="A5" t="s">
        <v>256</v>
      </c>
      <c r="F5">
        <v>0.05</v>
      </c>
    </row>
    <row r="7" spans="1:102">
      <c r="A7" t="s">
        <v>305</v>
      </c>
    </row>
    <row r="8" spans="1:102">
      <c r="B8" t="s">
        <v>236</v>
      </c>
      <c r="C8">
        <v>1</v>
      </c>
      <c r="D8">
        <v>2</v>
      </c>
      <c r="E8">
        <v>3</v>
      </c>
      <c r="F8">
        <v>4</v>
      </c>
      <c r="G8">
        <v>5</v>
      </c>
      <c r="H8">
        <v>6</v>
      </c>
      <c r="I8">
        <v>7</v>
      </c>
      <c r="J8">
        <v>8</v>
      </c>
      <c r="K8">
        <v>9</v>
      </c>
      <c r="L8">
        <v>10</v>
      </c>
      <c r="M8">
        <v>11</v>
      </c>
      <c r="N8">
        <v>12</v>
      </c>
      <c r="O8">
        <v>13</v>
      </c>
      <c r="P8">
        <v>14</v>
      </c>
      <c r="Q8">
        <v>15</v>
      </c>
      <c r="R8">
        <v>16</v>
      </c>
      <c r="S8">
        <v>17</v>
      </c>
      <c r="T8">
        <v>18</v>
      </c>
      <c r="U8">
        <v>19</v>
      </c>
      <c r="V8">
        <v>20</v>
      </c>
      <c r="W8">
        <v>21</v>
      </c>
      <c r="X8">
        <v>22</v>
      </c>
      <c r="Y8">
        <v>23</v>
      </c>
      <c r="Z8">
        <v>24</v>
      </c>
      <c r="AA8">
        <v>25</v>
      </c>
      <c r="AB8">
        <v>26</v>
      </c>
      <c r="AC8">
        <v>27</v>
      </c>
      <c r="AD8">
        <v>28</v>
      </c>
      <c r="AE8">
        <v>29</v>
      </c>
      <c r="AF8">
        <v>30</v>
      </c>
      <c r="AG8">
        <v>31</v>
      </c>
      <c r="AH8">
        <v>32</v>
      </c>
      <c r="AI8">
        <v>33</v>
      </c>
      <c r="AJ8">
        <v>34</v>
      </c>
      <c r="AK8">
        <v>35</v>
      </c>
      <c r="AL8">
        <v>36</v>
      </c>
      <c r="AM8">
        <v>37</v>
      </c>
      <c r="AN8">
        <v>38</v>
      </c>
      <c r="AO8">
        <v>39</v>
      </c>
      <c r="AP8">
        <v>40</v>
      </c>
      <c r="AQ8">
        <v>41</v>
      </c>
      <c r="AR8">
        <v>42</v>
      </c>
      <c r="AS8">
        <v>43</v>
      </c>
      <c r="AT8">
        <v>44</v>
      </c>
      <c r="AU8">
        <v>45</v>
      </c>
      <c r="AV8">
        <v>46</v>
      </c>
      <c r="AW8">
        <v>47</v>
      </c>
      <c r="AX8">
        <v>48</v>
      </c>
      <c r="AY8">
        <v>49</v>
      </c>
      <c r="AZ8">
        <v>50</v>
      </c>
      <c r="BA8">
        <v>51</v>
      </c>
      <c r="BB8">
        <v>52</v>
      </c>
      <c r="BC8">
        <v>53</v>
      </c>
      <c r="BD8">
        <v>54</v>
      </c>
      <c r="BE8">
        <v>55</v>
      </c>
      <c r="BF8">
        <v>56</v>
      </c>
      <c r="BG8">
        <v>57</v>
      </c>
      <c r="BH8">
        <v>58</v>
      </c>
      <c r="BI8">
        <v>59</v>
      </c>
      <c r="BJ8">
        <v>60</v>
      </c>
      <c r="BK8">
        <v>61</v>
      </c>
      <c r="BL8">
        <v>62</v>
      </c>
      <c r="BM8">
        <v>63</v>
      </c>
      <c r="BN8">
        <v>64</v>
      </c>
      <c r="BO8">
        <v>65</v>
      </c>
      <c r="BP8">
        <v>66</v>
      </c>
      <c r="BQ8">
        <v>67</v>
      </c>
      <c r="BR8">
        <v>68</v>
      </c>
      <c r="BS8">
        <v>69</v>
      </c>
      <c r="BT8">
        <v>70</v>
      </c>
      <c r="BU8">
        <v>71</v>
      </c>
      <c r="BV8">
        <v>72</v>
      </c>
      <c r="BW8">
        <v>73</v>
      </c>
      <c r="BX8">
        <v>74</v>
      </c>
      <c r="BY8">
        <v>75</v>
      </c>
      <c r="BZ8">
        <v>76</v>
      </c>
      <c r="CA8">
        <v>77</v>
      </c>
      <c r="CB8">
        <v>78</v>
      </c>
      <c r="CC8">
        <v>79</v>
      </c>
      <c r="CD8">
        <v>80</v>
      </c>
      <c r="CE8">
        <v>81</v>
      </c>
      <c r="CF8">
        <v>82</v>
      </c>
      <c r="CG8">
        <v>83</v>
      </c>
      <c r="CH8">
        <v>84</v>
      </c>
      <c r="CI8">
        <v>85</v>
      </c>
      <c r="CJ8">
        <v>86</v>
      </c>
      <c r="CK8">
        <v>87</v>
      </c>
      <c r="CL8">
        <v>88</v>
      </c>
      <c r="CM8">
        <v>89</v>
      </c>
      <c r="CN8">
        <v>90</v>
      </c>
      <c r="CO8">
        <v>91</v>
      </c>
      <c r="CP8">
        <v>92</v>
      </c>
      <c r="CQ8">
        <v>93</v>
      </c>
      <c r="CR8">
        <v>94</v>
      </c>
      <c r="CS8">
        <v>95</v>
      </c>
      <c r="CT8">
        <v>96</v>
      </c>
      <c r="CU8">
        <v>97</v>
      </c>
      <c r="CV8">
        <v>98</v>
      </c>
      <c r="CW8">
        <v>99</v>
      </c>
      <c r="CX8">
        <v>100</v>
      </c>
    </row>
    <row r="9" spans="1:102">
      <c r="B9" t="s">
        <v>306</v>
      </c>
      <c r="C9">
        <v>100</v>
      </c>
      <c r="D9">
        <v>100</v>
      </c>
      <c r="E9">
        <v>100</v>
      </c>
      <c r="F9">
        <v>100</v>
      </c>
      <c r="G9">
        <v>100</v>
      </c>
      <c r="H9">
        <v>100</v>
      </c>
      <c r="I9">
        <v>100</v>
      </c>
      <c r="J9">
        <v>100</v>
      </c>
      <c r="K9">
        <v>100</v>
      </c>
      <c r="L9">
        <v>100</v>
      </c>
      <c r="M9">
        <v>100</v>
      </c>
      <c r="N9">
        <v>100</v>
      </c>
      <c r="O9">
        <v>100</v>
      </c>
      <c r="P9">
        <v>100</v>
      </c>
      <c r="Q9">
        <v>100</v>
      </c>
      <c r="R9">
        <v>100</v>
      </c>
      <c r="S9">
        <v>100</v>
      </c>
      <c r="T9">
        <v>100</v>
      </c>
      <c r="U9">
        <v>100</v>
      </c>
      <c r="V9">
        <v>100</v>
      </c>
      <c r="W9">
        <v>100</v>
      </c>
      <c r="X9">
        <v>100</v>
      </c>
      <c r="Y9">
        <v>100</v>
      </c>
      <c r="Z9">
        <v>100</v>
      </c>
      <c r="AA9">
        <v>100</v>
      </c>
      <c r="AB9">
        <v>100</v>
      </c>
      <c r="AC9">
        <v>100</v>
      </c>
      <c r="AD9">
        <v>100</v>
      </c>
      <c r="AE9">
        <v>100</v>
      </c>
      <c r="AF9">
        <v>100</v>
      </c>
      <c r="AG9">
        <v>100</v>
      </c>
      <c r="AH9">
        <v>100</v>
      </c>
      <c r="AI9">
        <v>100</v>
      </c>
      <c r="AJ9">
        <v>100</v>
      </c>
      <c r="AK9">
        <v>100</v>
      </c>
      <c r="AL9">
        <v>100</v>
      </c>
      <c r="AM9">
        <v>100</v>
      </c>
      <c r="AN9">
        <v>100</v>
      </c>
      <c r="AO9">
        <v>100</v>
      </c>
      <c r="AP9">
        <v>100</v>
      </c>
      <c r="AQ9">
        <v>100</v>
      </c>
      <c r="AR9">
        <v>100</v>
      </c>
      <c r="AS9">
        <v>100</v>
      </c>
      <c r="AT9">
        <v>100</v>
      </c>
      <c r="AU9">
        <v>100</v>
      </c>
      <c r="AV9">
        <v>100</v>
      </c>
      <c r="AW9">
        <v>100</v>
      </c>
      <c r="AX9">
        <v>100</v>
      </c>
      <c r="AY9">
        <v>100</v>
      </c>
      <c r="AZ9">
        <v>100</v>
      </c>
      <c r="BA9">
        <v>100</v>
      </c>
      <c r="BB9">
        <v>100</v>
      </c>
      <c r="BC9">
        <v>100</v>
      </c>
      <c r="BD9">
        <v>100</v>
      </c>
      <c r="BE9">
        <v>100</v>
      </c>
      <c r="BF9">
        <v>100</v>
      </c>
      <c r="BG9">
        <v>100</v>
      </c>
      <c r="BH9">
        <v>100</v>
      </c>
      <c r="BI9">
        <v>100</v>
      </c>
      <c r="BJ9">
        <v>100</v>
      </c>
      <c r="BK9">
        <v>100</v>
      </c>
      <c r="BL9">
        <v>100</v>
      </c>
      <c r="BM9">
        <v>100</v>
      </c>
      <c r="BN9">
        <v>100</v>
      </c>
      <c r="BO9">
        <v>100</v>
      </c>
      <c r="BP9">
        <v>100</v>
      </c>
      <c r="BQ9">
        <v>100</v>
      </c>
      <c r="BR9">
        <v>100</v>
      </c>
      <c r="BS9">
        <v>100</v>
      </c>
      <c r="BT9">
        <v>100</v>
      </c>
      <c r="BU9">
        <v>100</v>
      </c>
      <c r="BV9">
        <v>100</v>
      </c>
      <c r="BW9">
        <v>100</v>
      </c>
      <c r="BX9">
        <v>100</v>
      </c>
      <c r="BY9">
        <v>100</v>
      </c>
      <c r="BZ9">
        <v>100</v>
      </c>
      <c r="CA9">
        <v>100</v>
      </c>
      <c r="CB9">
        <v>100</v>
      </c>
      <c r="CC9">
        <v>100</v>
      </c>
      <c r="CD9">
        <v>100</v>
      </c>
      <c r="CE9">
        <v>100</v>
      </c>
      <c r="CF9">
        <v>100</v>
      </c>
      <c r="CG9">
        <v>100</v>
      </c>
      <c r="CH9">
        <v>100</v>
      </c>
      <c r="CI9">
        <v>100</v>
      </c>
      <c r="CJ9">
        <v>100</v>
      </c>
      <c r="CK9">
        <v>100</v>
      </c>
      <c r="CL9">
        <v>100</v>
      </c>
      <c r="CM9">
        <v>100</v>
      </c>
      <c r="CN9">
        <v>100</v>
      </c>
      <c r="CO9">
        <v>100</v>
      </c>
      <c r="CP9">
        <v>100</v>
      </c>
      <c r="CQ9">
        <v>100</v>
      </c>
      <c r="CR9">
        <v>100</v>
      </c>
      <c r="CS9">
        <v>100</v>
      </c>
      <c r="CT9">
        <v>100</v>
      </c>
      <c r="CU9">
        <v>100</v>
      </c>
      <c r="CV9">
        <v>100</v>
      </c>
      <c r="CW9">
        <v>100</v>
      </c>
      <c r="CX9">
        <v>100</v>
      </c>
    </row>
    <row r="10" spans="1:102">
      <c r="B10" t="s">
        <v>257</v>
      </c>
      <c r="C10">
        <f>(1+$F$5/12)^-C8</f>
        <v>0.99585062240663902</v>
      </c>
      <c r="D10">
        <f t="shared" ref="D10:O10" si="0">(1+$F$5/12)^-D8</f>
        <v>0.99171846214769022</v>
      </c>
      <c r="E10">
        <f t="shared" si="0"/>
        <v>0.9876034477819321</v>
      </c>
      <c r="F10">
        <f t="shared" si="0"/>
        <v>0.98350550816457971</v>
      </c>
      <c r="G10">
        <f t="shared" si="0"/>
        <v>0.97942457244605463</v>
      </c>
      <c r="H10">
        <f t="shared" si="0"/>
        <v>0.97536057007075971</v>
      </c>
      <c r="I10">
        <f t="shared" si="0"/>
        <v>0.97131343077586008</v>
      </c>
      <c r="J10">
        <f t="shared" si="0"/>
        <v>0.96728308459006829</v>
      </c>
      <c r="K10">
        <f t="shared" si="0"/>
        <v>0.96326946183243312</v>
      </c>
      <c r="L10">
        <f t="shared" si="0"/>
        <v>0.9592724931111366</v>
      </c>
      <c r="M10">
        <f t="shared" si="0"/>
        <v>0.9552921093222938</v>
      </c>
      <c r="N10">
        <f t="shared" si="0"/>
        <v>0.95132824164875729</v>
      </c>
      <c r="O10">
        <f t="shared" si="0"/>
        <v>0.94738082155892855</v>
      </c>
      <c r="P10">
        <f t="shared" ref="P10:CA10" si="1">(1+$F$5/12)^-P8</f>
        <v>0.94344978080557196</v>
      </c>
      <c r="Q10">
        <f t="shared" si="1"/>
        <v>0.93953505142463567</v>
      </c>
      <c r="R10">
        <f t="shared" si="1"/>
        <v>0.93563656573407716</v>
      </c>
      <c r="S10">
        <f t="shared" si="1"/>
        <v>0.93175425633269093</v>
      </c>
      <c r="T10">
        <f t="shared" si="1"/>
        <v>0.92788805609894542</v>
      </c>
      <c r="U10">
        <f t="shared" si="1"/>
        <v>0.92403789818982107</v>
      </c>
      <c r="V10">
        <f t="shared" si="1"/>
        <v>0.92020371603965578</v>
      </c>
      <c r="W10">
        <f t="shared" si="1"/>
        <v>0.9163854433589933</v>
      </c>
      <c r="X10">
        <f t="shared" si="1"/>
        <v>0.91258301413343745</v>
      </c>
      <c r="Y10">
        <f t="shared" si="1"/>
        <v>0.90879636262250996</v>
      </c>
      <c r="Z10">
        <f t="shared" si="1"/>
        <v>0.90502542335851632</v>
      </c>
      <c r="AA10">
        <f t="shared" si="1"/>
        <v>0.90127013114541055</v>
      </c>
      <c r="AB10">
        <f t="shared" si="1"/>
        <v>0.89753042105767</v>
      </c>
      <c r="AC10">
        <f t="shared" si="1"/>
        <v>0.89380622843917368</v>
      </c>
      <c r="AD10">
        <f t="shared" si="1"/>
        <v>0.89009748890208162</v>
      </c>
      <c r="AE10">
        <f t="shared" si="1"/>
        <v>0.88640413832572451</v>
      </c>
      <c r="AF10">
        <f t="shared" si="1"/>
        <v>0.88272611285549329</v>
      </c>
      <c r="AG10">
        <f t="shared" si="1"/>
        <v>0.87906334890173565</v>
      </c>
      <c r="AH10">
        <f t="shared" si="1"/>
        <v>0.87541578313865809</v>
      </c>
      <c r="AI10">
        <f t="shared" si="1"/>
        <v>0.87178335250322792</v>
      </c>
      <c r="AJ10">
        <f t="shared" si="1"/>
        <v>0.86816599419408602</v>
      </c>
      <c r="AK10">
        <f t="shared" si="1"/>
        <v>0.86456364567045896</v>
      </c>
      <c r="AL10">
        <f t="shared" si="1"/>
        <v>0.86097624465107958</v>
      </c>
      <c r="AM10">
        <f t="shared" si="1"/>
        <v>0.85740372911310836</v>
      </c>
      <c r="AN10">
        <f t="shared" si="1"/>
        <v>0.85384603729106212</v>
      </c>
      <c r="AO10">
        <f t="shared" si="1"/>
        <v>0.85030310767574646</v>
      </c>
      <c r="AP10">
        <f t="shared" si="1"/>
        <v>0.84677487901319159</v>
      </c>
      <c r="AQ10">
        <f t="shared" si="1"/>
        <v>0.84326129030359331</v>
      </c>
      <c r="AR10">
        <f t="shared" si="1"/>
        <v>0.83976228080025861</v>
      </c>
      <c r="AS10">
        <f t="shared" si="1"/>
        <v>0.83627779000855651</v>
      </c>
      <c r="AT10">
        <f t="shared" si="1"/>
        <v>0.83280775768486948</v>
      </c>
      <c r="AU10">
        <f t="shared" si="1"/>
        <v>0.82935212383555479</v>
      </c>
      <c r="AV10">
        <f t="shared" si="1"/>
        <v>0.82591082871590515</v>
      </c>
      <c r="AW10">
        <f t="shared" si="1"/>
        <v>0.82248381282911687</v>
      </c>
      <c r="AX10">
        <f t="shared" si="1"/>
        <v>0.81907101692526174</v>
      </c>
      <c r="AY10">
        <f t="shared" si="1"/>
        <v>0.81567238200026071</v>
      </c>
      <c r="AZ10">
        <f t="shared" si="1"/>
        <v>0.81228784929486553</v>
      </c>
      <c r="BA10">
        <f t="shared" si="1"/>
        <v>0.80891736029364192</v>
      </c>
      <c r="BB10">
        <f t="shared" si="1"/>
        <v>0.80556085672395861</v>
      </c>
      <c r="BC10">
        <f t="shared" si="1"/>
        <v>0.80221828055497957</v>
      </c>
      <c r="BD10">
        <f t="shared" si="1"/>
        <v>0.79888957399666016</v>
      </c>
      <c r="BE10">
        <f t="shared" si="1"/>
        <v>0.79557467949874849</v>
      </c>
      <c r="BF10">
        <f t="shared" si="1"/>
        <v>0.7922735397497912</v>
      </c>
      <c r="BG10">
        <f t="shared" si="1"/>
        <v>0.78898609767614081</v>
      </c>
      <c r="BH10">
        <f t="shared" si="1"/>
        <v>0.78571229644096985</v>
      </c>
      <c r="BI10">
        <f t="shared" si="1"/>
        <v>0.78245207944328965</v>
      </c>
      <c r="BJ10">
        <f t="shared" si="1"/>
        <v>0.77920539031696889</v>
      </c>
      <c r="BK10">
        <f t="shared" si="1"/>
        <v>0.77597217292976151</v>
      </c>
      <c r="BL10">
        <f t="shared" si="1"/>
        <v>0.77275237138233521</v>
      </c>
      <c r="BM10">
        <f t="shared" si="1"/>
        <v>0.76954593000730431</v>
      </c>
      <c r="BN10">
        <f t="shared" si="1"/>
        <v>0.76635279336827011</v>
      </c>
      <c r="BO10">
        <f t="shared" si="1"/>
        <v>0.76317290625885825</v>
      </c>
      <c r="BP10">
        <f t="shared" si="1"/>
        <v>0.76000621370176746</v>
      </c>
      <c r="BQ10">
        <f t="shared" si="1"/>
        <v>0.75685266094781822</v>
      </c>
      <c r="BR10">
        <f t="shared" si="1"/>
        <v>0.75371219347500562</v>
      </c>
      <c r="BS10">
        <f t="shared" si="1"/>
        <v>0.75058475698755767</v>
      </c>
      <c r="BT10">
        <f t="shared" si="1"/>
        <v>0.74747029741499504</v>
      </c>
      <c r="BU10">
        <f t="shared" si="1"/>
        <v>0.7443687609111983</v>
      </c>
      <c r="BV10">
        <f t="shared" si="1"/>
        <v>0.7412800938534756</v>
      </c>
      <c r="BW10">
        <f t="shared" si="1"/>
        <v>0.73820424284163544</v>
      </c>
      <c r="BX10">
        <f t="shared" si="1"/>
        <v>0.7351411546970642</v>
      </c>
      <c r="BY10">
        <f t="shared" si="1"/>
        <v>0.73209077646180687</v>
      </c>
      <c r="BZ10">
        <f t="shared" si="1"/>
        <v>0.72905305539764986</v>
      </c>
      <c r="CA10">
        <f t="shared" si="1"/>
        <v>0.72602793898521156</v>
      </c>
      <c r="CB10">
        <f>(1+$F$5/12)^-CB8</f>
        <v>0.72301537492303225</v>
      </c>
      <c r="CC10">
        <f t="shared" ref="CC10:CX10" si="2">(1+$F$5/12)^-CC8</f>
        <v>0.72001531112667094</v>
      </c>
      <c r="CD10">
        <f t="shared" si="2"/>
        <v>0.71702769572780511</v>
      </c>
      <c r="CE10">
        <f t="shared" si="2"/>
        <v>0.71405247707333297</v>
      </c>
      <c r="CF10">
        <f t="shared" si="2"/>
        <v>0.71108960372448093</v>
      </c>
      <c r="CG10">
        <f t="shared" si="2"/>
        <v>0.70813902445591459</v>
      </c>
      <c r="CH10">
        <f t="shared" si="2"/>
        <v>0.70520068825485271</v>
      </c>
      <c r="CI10">
        <f t="shared" si="2"/>
        <v>0.70227454432018521</v>
      </c>
      <c r="CJ10">
        <f t="shared" si="2"/>
        <v>0.69936054206159537</v>
      </c>
      <c r="CK10">
        <f t="shared" si="2"/>
        <v>0.69645863109868389</v>
      </c>
      <c r="CL10">
        <f t="shared" si="2"/>
        <v>0.69356876126010025</v>
      </c>
      <c r="CM10">
        <f t="shared" si="2"/>
        <v>0.69069088258267253</v>
      </c>
      <c r="CN10">
        <f t="shared" si="2"/>
        <v>0.68782494531054517</v>
      </c>
      <c r="CO10">
        <f t="shared" si="2"/>
        <v>0.68497089989431892</v>
      </c>
      <c r="CP10">
        <f t="shared" si="2"/>
        <v>0.68212869699019307</v>
      </c>
      <c r="CQ10">
        <f t="shared" si="2"/>
        <v>0.67929828745911347</v>
      </c>
      <c r="CR10">
        <f t="shared" si="2"/>
        <v>0.67647962236592218</v>
      </c>
      <c r="CS10">
        <f t="shared" si="2"/>
        <v>0.67367265297851131</v>
      </c>
      <c r="CT10">
        <f t="shared" si="2"/>
        <v>0.67087733076698253</v>
      </c>
      <c r="CU10">
        <f t="shared" si="2"/>
        <v>0.6680936074028041</v>
      </c>
      <c r="CV10">
        <f t="shared" si="2"/>
        <v>0.66532143475797922</v>
      </c>
      <c r="CW10">
        <f t="shared" si="2"/>
        <v>0.66256076490421156</v>
      </c>
      <c r="CX10">
        <f t="shared" si="2"/>
        <v>0.65981155011207804</v>
      </c>
    </row>
    <row r="13" spans="1:102">
      <c r="A13" t="s">
        <v>237</v>
      </c>
    </row>
    <row r="15" spans="1:102">
      <c r="A15" t="s">
        <v>197</v>
      </c>
    </row>
    <row r="16" spans="1:102">
      <c r="B16" t="s">
        <v>128</v>
      </c>
    </row>
    <row r="17" spans="1:12">
      <c r="B17" t="s">
        <v>79</v>
      </c>
    </row>
    <row r="18" spans="1:12">
      <c r="B18" t="s">
        <v>119</v>
      </c>
    </row>
    <row r="19" spans="1:12">
      <c r="B19" t="s">
        <v>120</v>
      </c>
    </row>
    <row r="21" spans="1:12">
      <c r="A21" t="s">
        <v>121</v>
      </c>
    </row>
    <row r="22" spans="1:12">
      <c r="B22" t="s">
        <v>162</v>
      </c>
      <c r="E22">
        <f>C9/(F5/12)</f>
        <v>24000</v>
      </c>
    </row>
    <row r="23" spans="1:12">
      <c r="B23" t="s">
        <v>163</v>
      </c>
    </row>
    <row r="25" spans="1:12">
      <c r="B25" t="s">
        <v>164</v>
      </c>
      <c r="H25">
        <v>7500</v>
      </c>
      <c r="I25">
        <v>500</v>
      </c>
    </row>
    <row r="26" spans="1:12">
      <c r="B26" t="s">
        <v>165</v>
      </c>
      <c r="D26">
        <f>2*(I25/H25)</f>
        <v>0.13333333333333333</v>
      </c>
    </row>
    <row r="28" spans="1:12">
      <c r="B28" t="s">
        <v>109</v>
      </c>
      <c r="G28" t="s">
        <v>110</v>
      </c>
      <c r="K28">
        <v>100000</v>
      </c>
      <c r="L28">
        <f>0.05/4</f>
        <v>1.2500000000000001E-2</v>
      </c>
    </row>
    <row r="29" spans="1:12">
      <c r="B29" t="s">
        <v>105</v>
      </c>
      <c r="F29">
        <f>K28*L28</f>
        <v>1250</v>
      </c>
    </row>
    <row r="33" spans="1:11">
      <c r="A33" t="s">
        <v>104</v>
      </c>
      <c r="I33">
        <v>2500</v>
      </c>
    </row>
    <row r="34" spans="1:11">
      <c r="B34" t="s">
        <v>115</v>
      </c>
    </row>
    <row r="35" spans="1:11">
      <c r="B35" t="s">
        <v>71</v>
      </c>
      <c r="F35">
        <v>4.4999999999999998E-2</v>
      </c>
    </row>
    <row r="37" spans="1:11">
      <c r="A37" t="s">
        <v>107</v>
      </c>
      <c r="C37" s="6">
        <f>I33/(F35/12)</f>
        <v>666666.66666666674</v>
      </c>
    </row>
    <row r="39" spans="1:11">
      <c r="A39" t="s">
        <v>108</v>
      </c>
      <c r="C39" s="6">
        <f>I33/(F35/12)</f>
        <v>666666.66666666674</v>
      </c>
      <c r="D39" t="s">
        <v>118</v>
      </c>
      <c r="G39" s="6">
        <f>C39/(1+F35/12)^(30*12)</f>
        <v>173263.76914451719</v>
      </c>
    </row>
    <row r="41" spans="1:11">
      <c r="A41" t="s">
        <v>117</v>
      </c>
      <c r="C41" s="6">
        <f>C37-G39</f>
        <v>493402.89752214955</v>
      </c>
    </row>
    <row r="43" spans="1:11">
      <c r="A43" t="s">
        <v>139</v>
      </c>
    </row>
    <row r="46" spans="1:11">
      <c r="A46" t="s">
        <v>121</v>
      </c>
      <c r="B46" t="s">
        <v>140</v>
      </c>
      <c r="K46">
        <v>3000</v>
      </c>
    </row>
    <row r="47" spans="1:11">
      <c r="B47" t="s">
        <v>141</v>
      </c>
      <c r="K47">
        <v>3.875E-2</v>
      </c>
    </row>
    <row r="48" spans="1:11">
      <c r="K48">
        <v>360</v>
      </c>
    </row>
    <row r="49" spans="1:8">
      <c r="A49" t="s">
        <v>142</v>
      </c>
      <c r="C49" s="6">
        <f>K46/(K47/12)</f>
        <v>929032.25806451612</v>
      </c>
    </row>
    <row r="51" spans="1:8">
      <c r="A51" t="s">
        <v>143</v>
      </c>
      <c r="C51" s="6">
        <f>C49/(1+K47/12)^K48</f>
        <v>291056.20238348271</v>
      </c>
    </row>
    <row r="53" spans="1:8">
      <c r="A53" t="s">
        <v>144</v>
      </c>
      <c r="C53" s="6">
        <f>C49-C51</f>
        <v>637976.05568103341</v>
      </c>
    </row>
    <row r="55" spans="1:8">
      <c r="A55" t="s">
        <v>145</v>
      </c>
      <c r="H55" s="6">
        <f>C53/0.8</f>
        <v>797470.06960129167</v>
      </c>
    </row>
    <row r="59" spans="1:8">
      <c r="A59" t="s">
        <v>146</v>
      </c>
    </row>
    <row r="60" spans="1:8">
      <c r="A60" t="s">
        <v>93</v>
      </c>
    </row>
    <row r="61" spans="1:8">
      <c r="B61" s="6">
        <v>1800000</v>
      </c>
    </row>
    <row r="62" spans="1:8">
      <c r="B62">
        <v>0.04</v>
      </c>
      <c r="C62">
        <f>B62/12</f>
        <v>3.3333333333333335E-3</v>
      </c>
    </row>
    <row r="63" spans="1:8">
      <c r="B63">
        <f>22*12</f>
        <v>264</v>
      </c>
    </row>
    <row r="64" spans="1:8">
      <c r="A64" t="s">
        <v>95</v>
      </c>
    </row>
    <row r="65" spans="1:10">
      <c r="A65" t="s">
        <v>94</v>
      </c>
      <c r="D65" t="s">
        <v>96</v>
      </c>
    </row>
    <row r="66" spans="1:10">
      <c r="A66" t="s">
        <v>97</v>
      </c>
      <c r="C66" s="6">
        <f>B61/(1/C62-(1/C62)/(1+C62)^B63)</f>
        <v>10263.258671039781</v>
      </c>
    </row>
    <row r="70" spans="1:10">
      <c r="A70" t="s">
        <v>134</v>
      </c>
      <c r="H70">
        <v>7000</v>
      </c>
      <c r="I70" t="s">
        <v>136</v>
      </c>
      <c r="J70">
        <f>20*12</f>
        <v>240</v>
      </c>
    </row>
    <row r="71" spans="1:10">
      <c r="A71" t="s">
        <v>135</v>
      </c>
      <c r="D71">
        <v>6</v>
      </c>
      <c r="E71">
        <f>D71/12</f>
        <v>0.5</v>
      </c>
    </row>
    <row r="72" spans="1:10">
      <c r="A72" t="s">
        <v>137</v>
      </c>
    </row>
    <row r="74" spans="1:10">
      <c r="A74" t="s">
        <v>138</v>
      </c>
      <c r="C74" s="6">
        <f>H70/E71</f>
        <v>14000</v>
      </c>
    </row>
    <row r="76" spans="1:10">
      <c r="A76" t="s">
        <v>168</v>
      </c>
      <c r="C76" s="6">
        <f>C74/(1+E71)^J70</f>
        <v>7.6599487214753485E-39</v>
      </c>
    </row>
    <row r="78" spans="1:10">
      <c r="A78" t="s">
        <v>169</v>
      </c>
      <c r="C78" s="6">
        <f>C74-C76</f>
        <v>14000</v>
      </c>
    </row>
    <row r="81" spans="1:5">
      <c r="A81" t="s">
        <v>263</v>
      </c>
    </row>
    <row r="83" spans="1:5">
      <c r="A83" t="s">
        <v>170</v>
      </c>
      <c r="C83" s="6">
        <v>1155153.01</v>
      </c>
    </row>
    <row r="85" spans="1:5">
      <c r="A85" t="s">
        <v>171</v>
      </c>
      <c r="C85" t="s">
        <v>91</v>
      </c>
    </row>
    <row r="87" spans="1:5">
      <c r="A87" t="s">
        <v>92</v>
      </c>
      <c r="C87" s="6">
        <v>902877.55</v>
      </c>
    </row>
    <row r="91" spans="1:5">
      <c r="A91" t="s">
        <v>296</v>
      </c>
    </row>
    <row r="93" spans="1:5">
      <c r="A93" t="s">
        <v>297</v>
      </c>
    </row>
    <row r="94" spans="1:5">
      <c r="B94" t="s">
        <v>298</v>
      </c>
    </row>
    <row r="96" spans="1:5">
      <c r="B96" t="s">
        <v>275</v>
      </c>
      <c r="E96">
        <f>100/(1+0.0375/2)^(2*27.5)</f>
        <v>35.998201521664697</v>
      </c>
    </row>
    <row r="98" spans="2:8">
      <c r="B98" t="s">
        <v>276</v>
      </c>
    </row>
    <row r="99" spans="2:8">
      <c r="C99" t="s">
        <v>277</v>
      </c>
      <c r="E99">
        <f>100*0.0425/2</f>
        <v>2.125</v>
      </c>
    </row>
    <row r="101" spans="2:8">
      <c r="B101" t="s">
        <v>278</v>
      </c>
      <c r="F101">
        <f>E99/(0.0375/2)</f>
        <v>113.33333333333334</v>
      </c>
    </row>
    <row r="102" spans="2:8">
      <c r="B102" t="s">
        <v>279</v>
      </c>
      <c r="F102">
        <f>F101/(1+0.0375/2)^(2*27.5)</f>
        <v>40.797961724553325</v>
      </c>
    </row>
    <row r="103" spans="2:8">
      <c r="B103" t="s">
        <v>280</v>
      </c>
      <c r="F103">
        <f>F101-F102</f>
        <v>72.535371608780025</v>
      </c>
    </row>
    <row r="104" spans="2:8">
      <c r="B104" t="s">
        <v>281</v>
      </c>
      <c r="F104">
        <f>F103+E96</f>
        <v>108.53357313044472</v>
      </c>
    </row>
    <row r="106" spans="2:8">
      <c r="B106" t="s">
        <v>282</v>
      </c>
    </row>
    <row r="107" spans="2:8">
      <c r="B107" t="s">
        <v>283</v>
      </c>
    </row>
    <row r="109" spans="2:8">
      <c r="B109" s="7" t="s">
        <v>292</v>
      </c>
    </row>
    <row r="110" spans="2:8">
      <c r="H110" t="s">
        <v>284</v>
      </c>
    </row>
    <row r="113" spans="1:10">
      <c r="A113" t="s">
        <v>65</v>
      </c>
    </row>
    <row r="114" spans="1:10">
      <c r="B114" t="s">
        <v>66</v>
      </c>
      <c r="C114" t="s">
        <v>112</v>
      </c>
    </row>
    <row r="115" spans="1:10">
      <c r="C115" t="s">
        <v>113</v>
      </c>
    </row>
    <row r="116" spans="1:10">
      <c r="A116" t="s">
        <v>114</v>
      </c>
      <c r="C116">
        <v>0.04</v>
      </c>
    </row>
    <row r="117" spans="1:10">
      <c r="A117" t="s">
        <v>98</v>
      </c>
      <c r="F117">
        <f>10000/(C116/12)</f>
        <v>3000000</v>
      </c>
    </row>
    <row r="118" spans="1:10">
      <c r="A118" t="s">
        <v>99</v>
      </c>
      <c r="F118">
        <f>F117/(1+C116/12)^(12*18)</f>
        <v>1462006.2388392086</v>
      </c>
    </row>
    <row r="119" spans="1:10">
      <c r="A119" t="s">
        <v>100</v>
      </c>
      <c r="F119">
        <f>F117-F118</f>
        <v>1537993.7611607914</v>
      </c>
    </row>
    <row r="121" spans="1:10">
      <c r="A121" t="s">
        <v>101</v>
      </c>
    </row>
    <row r="122" spans="1:10">
      <c r="B122" t="s">
        <v>102</v>
      </c>
      <c r="J122">
        <f>(2000000-F119)^2</f>
        <v>213449764726.35187</v>
      </c>
    </row>
    <row r="123" spans="1:10">
      <c r="A123" t="s">
        <v>103</v>
      </c>
    </row>
    <row r="133" spans="1:2">
      <c r="A133" t="s">
        <v>80</v>
      </c>
    </row>
    <row r="134" spans="1:2">
      <c r="B134" t="s">
        <v>81</v>
      </c>
    </row>
    <row r="137" spans="1:2">
      <c r="A137" t="s">
        <v>33</v>
      </c>
    </row>
    <row r="138" spans="1:2">
      <c r="A138" t="s">
        <v>34</v>
      </c>
    </row>
    <row r="140" spans="1:2">
      <c r="A140" t="s">
        <v>35</v>
      </c>
    </row>
    <row r="141" spans="1:2">
      <c r="A141" t="s">
        <v>122</v>
      </c>
    </row>
    <row r="143" spans="1:2">
      <c r="A143" t="s">
        <v>62</v>
      </c>
    </row>
    <row r="144" spans="1:2">
      <c r="A144" t="s">
        <v>63</v>
      </c>
    </row>
    <row r="145" spans="1:2">
      <c r="A145" t="s">
        <v>64</v>
      </c>
    </row>
    <row r="146" spans="1:2">
      <c r="A146" t="s">
        <v>285</v>
      </c>
    </row>
    <row r="147" spans="1:2">
      <c r="B147" s="7"/>
    </row>
  </sheetData>
  <sheetCalcPr fullCalcOnLoad="1"/>
  <phoneticPr fontId="3" type="noConversion"/>
  <pageMargins left="0.75" right="0.75" top="1" bottom="1" header="0.5" footer="0.5"/>
  <extLst>
    <ext xmlns:mx="http://schemas.microsoft.com/office/mac/excel/2008/main" uri="http://schemas.microsoft.com/office/mac/excel/2008/main">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O83"/>
  <sheetViews>
    <sheetView topLeftCell="A52" workbookViewId="0">
      <selection activeCell="E19" sqref="E19"/>
    </sheetView>
  </sheetViews>
  <sheetFormatPr baseColWidth="10" defaultRowHeight="13"/>
  <cols>
    <col min="5" max="5" width="11.85546875" bestFit="1" customWidth="1"/>
    <col min="6" max="6" width="11" bestFit="1" customWidth="1"/>
  </cols>
  <sheetData>
    <row r="1" spans="1:10">
      <c r="A1" t="s">
        <v>12</v>
      </c>
    </row>
    <row r="2" spans="1:10">
      <c r="A2" t="s">
        <v>13</v>
      </c>
    </row>
    <row r="3" spans="1:10">
      <c r="A3" t="s">
        <v>14</v>
      </c>
    </row>
    <row r="4" spans="1:10">
      <c r="A4" t="s">
        <v>69</v>
      </c>
    </row>
    <row r="5" spans="1:10">
      <c r="B5" t="s">
        <v>15</v>
      </c>
      <c r="E5">
        <v>9.5000000000000001E-2</v>
      </c>
    </row>
    <row r="6" spans="1:10">
      <c r="C6" t="s">
        <v>16</v>
      </c>
      <c r="D6" t="s">
        <v>17</v>
      </c>
      <c r="E6" t="s">
        <v>54</v>
      </c>
    </row>
    <row r="7" spans="1:10">
      <c r="C7">
        <v>103.34375</v>
      </c>
      <c r="D7">
        <v>103.375</v>
      </c>
      <c r="E7">
        <v>0.5</v>
      </c>
    </row>
    <row r="8" spans="1:10">
      <c r="B8" t="s">
        <v>18</v>
      </c>
    </row>
    <row r="9" spans="1:10">
      <c r="C9">
        <v>98.78125</v>
      </c>
      <c r="D9">
        <v>98.8125</v>
      </c>
      <c r="E9">
        <v>0.5</v>
      </c>
    </row>
    <row r="12" spans="1:10">
      <c r="A12" t="s">
        <v>19</v>
      </c>
      <c r="J12">
        <f>100*(1+E5/2)</f>
        <v>104.75000000000001</v>
      </c>
    </row>
    <row r="14" spans="1:10">
      <c r="C14" t="s">
        <v>67</v>
      </c>
      <c r="J14">
        <v>100</v>
      </c>
    </row>
    <row r="15" spans="1:10">
      <c r="A15" t="s">
        <v>68</v>
      </c>
    </row>
    <row r="16" spans="1:10">
      <c r="A16" t="s">
        <v>70</v>
      </c>
    </row>
    <row r="18" spans="1:7">
      <c r="A18" t="s">
        <v>49</v>
      </c>
    </row>
    <row r="19" spans="1:7">
      <c r="C19" t="s">
        <v>51</v>
      </c>
      <c r="D19" t="s">
        <v>52</v>
      </c>
    </row>
    <row r="20" spans="1:7">
      <c r="B20" t="s">
        <v>50</v>
      </c>
      <c r="C20">
        <f>(C7+D7)*0.5</f>
        <v>103.359375</v>
      </c>
      <c r="D20">
        <f>LN(J12/C20)/E7</f>
        <v>2.6729131225726122E-2</v>
      </c>
    </row>
    <row r="21" spans="1:7">
      <c r="B21" t="s">
        <v>53</v>
      </c>
      <c r="C21">
        <f>(C9+D9)/2</f>
        <v>98.796875</v>
      </c>
      <c r="D21">
        <f>LN(J14/C21)/E9</f>
        <v>2.4208422578300116E-2</v>
      </c>
    </row>
    <row r="23" spans="1:7">
      <c r="A23" t="s">
        <v>55</v>
      </c>
    </row>
    <row r="24" spans="1:7">
      <c r="A24" t="s">
        <v>56</v>
      </c>
    </row>
    <row r="25" spans="1:7">
      <c r="A25" t="s">
        <v>57</v>
      </c>
    </row>
    <row r="27" spans="1:7">
      <c r="A27" t="s">
        <v>58</v>
      </c>
      <c r="B27" s="9">
        <v>100000000</v>
      </c>
    </row>
    <row r="28" spans="1:7">
      <c r="D28" t="s">
        <v>273</v>
      </c>
      <c r="E28">
        <v>0</v>
      </c>
      <c r="F28">
        <v>0.5</v>
      </c>
    </row>
    <row r="29" spans="1:7">
      <c r="B29" t="s">
        <v>59</v>
      </c>
      <c r="E29" s="9">
        <f>-B27*D7/100</f>
        <v>-103375000</v>
      </c>
      <c r="F29" s="9">
        <f>B27*J12/100</f>
        <v>104750000.00000001</v>
      </c>
      <c r="G29" t="s">
        <v>60</v>
      </c>
    </row>
    <row r="30" spans="1:7">
      <c r="G30" t="s">
        <v>61</v>
      </c>
    </row>
    <row r="32" spans="1:7">
      <c r="B32" t="s">
        <v>10</v>
      </c>
    </row>
    <row r="33" spans="1:8">
      <c r="E33" s="9">
        <f>F29*C9/100</f>
        <v>103473359.37500001</v>
      </c>
      <c r="F33" s="9">
        <f>-F29</f>
        <v>-104750000.00000001</v>
      </c>
    </row>
    <row r="35" spans="1:8">
      <c r="B35" t="s">
        <v>11</v>
      </c>
      <c r="E35" s="9">
        <f>E29+E33</f>
        <v>98359.375000014901</v>
      </c>
      <c r="F35" s="9">
        <f>F29+F33</f>
        <v>0</v>
      </c>
    </row>
    <row r="37" spans="1:8">
      <c r="B37" t="s">
        <v>3</v>
      </c>
    </row>
    <row r="38" spans="1:8">
      <c r="B38" t="s">
        <v>4</v>
      </c>
    </row>
    <row r="39" spans="1:8">
      <c r="B39" t="s">
        <v>5</v>
      </c>
    </row>
    <row r="41" spans="1:8">
      <c r="B41" t="s">
        <v>6</v>
      </c>
    </row>
    <row r="42" spans="1:8">
      <c r="B42" s="3" t="s">
        <v>38</v>
      </c>
    </row>
    <row r="44" spans="1:8">
      <c r="A44" t="s">
        <v>39</v>
      </c>
    </row>
    <row r="45" spans="1:8">
      <c r="A45" t="s">
        <v>40</v>
      </c>
    </row>
    <row r="46" spans="1:8">
      <c r="B46" t="s">
        <v>41</v>
      </c>
      <c r="E46">
        <v>0.12</v>
      </c>
      <c r="G46" t="s">
        <v>47</v>
      </c>
      <c r="H46" t="s">
        <v>48</v>
      </c>
    </row>
    <row r="47" spans="1:8">
      <c r="C47" t="s">
        <v>16</v>
      </c>
      <c r="D47" t="s">
        <v>42</v>
      </c>
      <c r="E47" t="s">
        <v>43</v>
      </c>
    </row>
    <row r="48" spans="1:8">
      <c r="C48">
        <v>103.875</v>
      </c>
      <c r="D48">
        <v>103.90625</v>
      </c>
      <c r="E48">
        <v>0.5</v>
      </c>
      <c r="G48">
        <f>0.5*(C48+D48)</f>
        <v>103.890625</v>
      </c>
      <c r="H48">
        <f>100*(1+E46/2)</f>
        <v>106</v>
      </c>
    </row>
    <row r="49" spans="1:15">
      <c r="B49" t="s">
        <v>44</v>
      </c>
      <c r="E49">
        <v>2.75E-2</v>
      </c>
    </row>
    <row r="50" spans="1:15">
      <c r="C50">
        <v>99.125</v>
      </c>
      <c r="D50">
        <v>99.15625</v>
      </c>
      <c r="E50">
        <v>0.5</v>
      </c>
      <c r="G50">
        <f>(C50+D50)/2</f>
        <v>99.140625</v>
      </c>
      <c r="H50">
        <f>100*(1+E49/2)</f>
        <v>101.375</v>
      </c>
    </row>
    <row r="51" spans="1:15">
      <c r="A51" t="s">
        <v>45</v>
      </c>
    </row>
    <row r="52" spans="1:15">
      <c r="B52" t="s">
        <v>46</v>
      </c>
      <c r="D52">
        <f>LN(H48/G48)/E48</f>
        <v>4.0200862138568071E-2</v>
      </c>
    </row>
    <row r="53" spans="1:15">
      <c r="B53" t="s">
        <v>26</v>
      </c>
      <c r="D53">
        <f>LN(H50/G50)/E50</f>
        <v>4.4574431293521476E-2</v>
      </c>
    </row>
    <row r="55" spans="1:15">
      <c r="A55" t="s">
        <v>27</v>
      </c>
    </row>
    <row r="56" spans="1:15">
      <c r="A56" t="s">
        <v>58</v>
      </c>
      <c r="B56" s="9">
        <v>100000000</v>
      </c>
    </row>
    <row r="57" spans="1:15">
      <c r="D57" t="s">
        <v>273</v>
      </c>
      <c r="E57">
        <v>0</v>
      </c>
      <c r="F57">
        <v>0.5</v>
      </c>
    </row>
    <row r="58" spans="1:15">
      <c r="B58" t="s">
        <v>28</v>
      </c>
      <c r="E58" s="9">
        <f>-B56*D50/100</f>
        <v>-99156250</v>
      </c>
      <c r="F58" s="9">
        <f>B56*H50/100</f>
        <v>101375000</v>
      </c>
    </row>
    <row r="60" spans="1:15">
      <c r="B60" t="s">
        <v>29</v>
      </c>
      <c r="E60" s="9">
        <f>(F58/H48)*C48</f>
        <v>99342718.160377368</v>
      </c>
      <c r="F60" s="9">
        <f>-F58</f>
        <v>-101375000</v>
      </c>
      <c r="G60" t="s">
        <v>30</v>
      </c>
    </row>
    <row r="61" spans="1:15">
      <c r="I61" t="s">
        <v>31</v>
      </c>
      <c r="O61" s="9">
        <f>F58/H48*100</f>
        <v>95636792.452830195</v>
      </c>
    </row>
    <row r="62" spans="1:15">
      <c r="B62" t="s">
        <v>11</v>
      </c>
      <c r="E62" s="9">
        <f>E58+E60</f>
        <v>186468.16037736833</v>
      </c>
      <c r="F62" s="9">
        <f>F58+F60</f>
        <v>0</v>
      </c>
      <c r="I62" t="s">
        <v>32</v>
      </c>
      <c r="O62" s="9">
        <f>O61*C48/100</f>
        <v>99342718.160377368</v>
      </c>
    </row>
    <row r="65" spans="1:13">
      <c r="A65" t="s">
        <v>2</v>
      </c>
    </row>
    <row r="66" spans="1:13">
      <c r="A66" t="s">
        <v>20</v>
      </c>
    </row>
    <row r="68" spans="1:13">
      <c r="A68" t="s">
        <v>21</v>
      </c>
    </row>
    <row r="69" spans="1:13">
      <c r="A69" t="s">
        <v>58</v>
      </c>
      <c r="B69" s="9">
        <v>100000000</v>
      </c>
    </row>
    <row r="70" spans="1:13">
      <c r="D70" t="s">
        <v>273</v>
      </c>
      <c r="E70">
        <v>0</v>
      </c>
      <c r="F70">
        <v>0.5</v>
      </c>
    </row>
    <row r="71" spans="1:13">
      <c r="B71" t="s">
        <v>28</v>
      </c>
      <c r="E71" s="9">
        <f>-B56*D50/100</f>
        <v>-99156250</v>
      </c>
      <c r="F71" s="9">
        <f>H50/100*B69</f>
        <v>101375000</v>
      </c>
    </row>
    <row r="73" spans="1:13">
      <c r="B73" t="s">
        <v>22</v>
      </c>
      <c r="E73" s="9">
        <f>-E71</f>
        <v>99156250</v>
      </c>
      <c r="F73" s="9">
        <f>-M74</f>
        <v>-101184717.2081829</v>
      </c>
      <c r="G73" t="s">
        <v>23</v>
      </c>
      <c r="M73" s="9">
        <f>E73/(C48/100)</f>
        <v>95457280.385078207</v>
      </c>
    </row>
    <row r="74" spans="1:13">
      <c r="G74" t="s">
        <v>24</v>
      </c>
      <c r="M74" s="9">
        <f>M73*(H48/100)</f>
        <v>101184717.2081829</v>
      </c>
    </row>
    <row r="75" spans="1:13">
      <c r="B75" t="s">
        <v>11</v>
      </c>
      <c r="E75" s="9">
        <f>E71+E73</f>
        <v>0</v>
      </c>
      <c r="F75" s="9">
        <f>F71+F73</f>
        <v>190282.79181709886</v>
      </c>
    </row>
    <row r="77" spans="1:13">
      <c r="A77" t="s">
        <v>25</v>
      </c>
    </row>
    <row r="79" spans="1:13">
      <c r="A79" t="s">
        <v>286</v>
      </c>
    </row>
    <row r="80" spans="1:13">
      <c r="B80" t="s">
        <v>287</v>
      </c>
    </row>
    <row r="81" spans="2:2">
      <c r="B81" t="s">
        <v>288</v>
      </c>
    </row>
    <row r="82" spans="2:2">
      <c r="B82" t="s">
        <v>289</v>
      </c>
    </row>
    <row r="83" spans="2:2">
      <c r="B83" t="s">
        <v>290</v>
      </c>
    </row>
  </sheetData>
  <sheetCalcPr fullCalcOnLoad="1"/>
  <phoneticPr fontId="3" type="noConversion"/>
  <pageMargins left="0.75" right="0.75" top="1" bottom="1" header="0.5" footer="0.5"/>
  <extLst>
    <ext xmlns:mx="http://schemas.microsoft.com/office/mac/excel/2008/main" uri="http://schemas.microsoft.com/office/mac/excel/2008/main">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sheetPr published="0" enableFormatConditionsCalculation="0"/>
  <dimension ref="A1:B23"/>
  <sheetViews>
    <sheetView tabSelected="1" workbookViewId="0">
      <selection activeCell="A24" sqref="A24"/>
    </sheetView>
  </sheetViews>
  <sheetFormatPr baseColWidth="10" defaultRowHeight="13"/>
  <sheetData>
    <row r="1" spans="1:2">
      <c r="A1" t="s">
        <v>37</v>
      </c>
    </row>
    <row r="3" spans="1:2">
      <c r="A3" t="s">
        <v>36</v>
      </c>
    </row>
    <row r="5" spans="1:2">
      <c r="A5" t="s">
        <v>87</v>
      </c>
    </row>
    <row r="6" spans="1:2">
      <c r="A6" t="s">
        <v>75</v>
      </c>
    </row>
    <row r="7" spans="1:2">
      <c r="A7" t="s">
        <v>72</v>
      </c>
    </row>
    <row r="8" spans="1:2">
      <c r="B8" t="s">
        <v>78</v>
      </c>
    </row>
    <row r="9" spans="1:2">
      <c r="B9" t="s">
        <v>73</v>
      </c>
    </row>
    <row r="10" spans="1:2">
      <c r="B10" t="s">
        <v>74</v>
      </c>
    </row>
    <row r="11" spans="1:2">
      <c r="A11" t="s">
        <v>88</v>
      </c>
    </row>
    <row r="13" spans="1:2">
      <c r="A13" t="s">
        <v>89</v>
      </c>
    </row>
    <row r="14" spans="1:2">
      <c r="B14" t="s">
        <v>76</v>
      </c>
    </row>
    <row r="15" spans="1:2">
      <c r="B15" t="s">
        <v>77</v>
      </c>
    </row>
    <row r="18" spans="1:1">
      <c r="A18" t="s">
        <v>7</v>
      </c>
    </row>
    <row r="19" spans="1:1">
      <c r="A19" t="s">
        <v>8</v>
      </c>
    </row>
    <row r="20" spans="1:1">
      <c r="A20" t="s">
        <v>9</v>
      </c>
    </row>
    <row r="22" spans="1:1">
      <c r="A22" t="s">
        <v>0</v>
      </c>
    </row>
    <row r="23" spans="1:1">
      <c r="A23" t="s">
        <v>1</v>
      </c>
    </row>
  </sheetData>
  <sheetCalcPr fullCalcOnLoad="1"/>
  <phoneticPr fontId="3"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Basics</vt:lpstr>
      <vt:lpstr>Coupon Bond</vt:lpstr>
      <vt:lpstr>Annuities</vt:lpstr>
      <vt:lpstr>Arbitrage</vt:lpstr>
      <vt:lpstr>DIscussion</vt:lpstr>
    </vt:vector>
  </TitlesOfParts>
  <Company>University of Arizona</Company>
  <LinksUpToDate>false</LinksUpToDate>
  <SharedDoc>false</SharedDoc>
  <HyperlinksChanged>false</HyperlinksChanged>
  <AppVersion>12.0256</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Chris Lamoureux</cp:lastModifiedBy>
  <dcterms:created xsi:type="dcterms:W3CDTF">2017-03-05T16:26:58Z</dcterms:created>
  <dcterms:modified xsi:type="dcterms:W3CDTF">2018-11-01T18:05:59Z</dcterms:modified>
</cp:coreProperties>
</file>