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lamlap/classes/510/2025/510B/classmat/"/>
    </mc:Choice>
  </mc:AlternateContent>
  <xr:revisionPtr revIDLastSave="0" documentId="8_{B5C575BF-8A5A-E949-BE9A-3FFEFBAAAA90}" xr6:coauthVersionLast="47" xr6:coauthVersionMax="47" xr10:uidLastSave="{00000000-0000-0000-0000-000000000000}"/>
  <bookViews>
    <workbookView xWindow="3400" yWindow="500" windowWidth="24800" windowHeight="15740" tabRatio="500" activeTab="1" xr2:uid="{00000000-000D-0000-FFFF-FFFF00000000}"/>
  </bookViews>
  <sheets>
    <sheet name="AMAT" sheetId="1" r:id="rId1"/>
    <sheet name="Hazmat 1" sheetId="2" r:id="rId2"/>
    <sheet name="Hazmat 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E19" i="2" l="1"/>
  <c r="F19" i="2"/>
  <c r="G19" i="2"/>
  <c r="H19" i="2"/>
  <c r="I19" i="2"/>
  <c r="J19" i="2"/>
  <c r="K19" i="2"/>
  <c r="D19" i="2"/>
  <c r="E64" i="2"/>
  <c r="L66" i="2"/>
  <c r="K64" i="2"/>
  <c r="L64" i="2"/>
  <c r="L67" i="2"/>
  <c r="E29" i="2"/>
  <c r="D18" i="2"/>
  <c r="E7" i="2"/>
  <c r="C22" i="1"/>
  <c r="E32" i="1" s="1"/>
  <c r="B7" i="1"/>
  <c r="I4" i="1"/>
  <c r="J3" i="1"/>
  <c r="H4" i="1" s="1"/>
  <c r="H3" i="1"/>
  <c r="E3" i="1"/>
  <c r="L24" i="1" s="1"/>
  <c r="H2" i="1"/>
  <c r="F4" i="1" s="1"/>
  <c r="C13" i="1" s="1"/>
  <c r="E65" i="2"/>
  <c r="C16" i="2"/>
  <c r="C40" i="2" s="1"/>
  <c r="D63" i="2" s="1"/>
  <c r="E18" i="2"/>
  <c r="F65" i="2" s="1"/>
  <c r="F18" i="2"/>
  <c r="G65" i="2"/>
  <c r="G18" i="2"/>
  <c r="G42" i="2" s="1"/>
  <c r="C52" i="2"/>
  <c r="D42" i="2"/>
  <c r="E42" i="2"/>
  <c r="F42" i="2"/>
  <c r="C66" i="2"/>
  <c r="H43" i="2"/>
  <c r="F43" i="2"/>
  <c r="F66" i="2" s="1"/>
  <c r="E43" i="2"/>
  <c r="E66" i="2" s="1"/>
  <c r="D43" i="2"/>
  <c r="D66" i="2" s="1"/>
  <c r="C43" i="2"/>
  <c r="C44" i="2" s="1"/>
  <c r="E33" i="2"/>
  <c r="E30" i="2"/>
  <c r="E28" i="2"/>
  <c r="E31" i="2" s="1"/>
  <c r="E32" i="2" s="1"/>
  <c r="E34" i="2" s="1"/>
  <c r="K43" i="2"/>
  <c r="K66" i="2" s="1"/>
  <c r="K67" i="2" s="1"/>
  <c r="G43" i="2"/>
  <c r="C19" i="2"/>
  <c r="E2" i="2"/>
  <c r="E6" i="2" s="1"/>
  <c r="E9" i="2" s="1"/>
  <c r="B57" i="3"/>
  <c r="L47" i="3"/>
  <c r="K47" i="3"/>
  <c r="K48" i="3" s="1"/>
  <c r="J47" i="3"/>
  <c r="J48" i="3" s="1"/>
  <c r="I47" i="3"/>
  <c r="I48" i="3" s="1"/>
  <c r="H47" i="3"/>
  <c r="G47" i="3"/>
  <c r="F47" i="3"/>
  <c r="E46" i="3"/>
  <c r="L45" i="3"/>
  <c r="K45" i="3"/>
  <c r="J45" i="3"/>
  <c r="I45" i="3"/>
  <c r="H45" i="3"/>
  <c r="G45" i="3"/>
  <c r="E39" i="3"/>
  <c r="D39" i="3"/>
  <c r="L38" i="3"/>
  <c r="K38" i="3"/>
  <c r="J38" i="3"/>
  <c r="I38" i="3"/>
  <c r="H38" i="3"/>
  <c r="G38" i="3"/>
  <c r="F38" i="3"/>
  <c r="E38" i="3"/>
  <c r="E47" i="3" s="1"/>
  <c r="D38" i="3"/>
  <c r="D47" i="3" s="1"/>
  <c r="L37" i="3"/>
  <c r="L46" i="3" s="1"/>
  <c r="K37" i="3"/>
  <c r="K46" i="3" s="1"/>
  <c r="J37" i="3"/>
  <c r="J46" i="3" s="1"/>
  <c r="I37" i="3"/>
  <c r="I46" i="3" s="1"/>
  <c r="H37" i="3"/>
  <c r="H46" i="3" s="1"/>
  <c r="H48" i="3" s="1"/>
  <c r="G37" i="3"/>
  <c r="G46" i="3" s="1"/>
  <c r="G48" i="3" s="1"/>
  <c r="F37" i="3"/>
  <c r="F46" i="3" s="1"/>
  <c r="E37" i="3"/>
  <c r="F36" i="3"/>
  <c r="E36" i="3"/>
  <c r="L35" i="3"/>
  <c r="L44" i="3" s="1"/>
  <c r="L33" i="3"/>
  <c r="L43" i="3" s="1"/>
  <c r="C29" i="3"/>
  <c r="C30" i="3" s="1"/>
  <c r="L17" i="3"/>
  <c r="K17" i="3"/>
  <c r="L16" i="3"/>
  <c r="K16" i="3"/>
  <c r="J16" i="3"/>
  <c r="J17" i="3" s="1"/>
  <c r="I16" i="3"/>
  <c r="H16" i="3"/>
  <c r="H17" i="3" s="1"/>
  <c r="G16" i="3"/>
  <c r="G17" i="3" s="1"/>
  <c r="F16" i="3"/>
  <c r="F17" i="3" s="1"/>
  <c r="E16" i="3"/>
  <c r="E17" i="3" s="1"/>
  <c r="D16" i="3"/>
  <c r="D17" i="3" s="1"/>
  <c r="D19" i="3" s="1"/>
  <c r="L15" i="3"/>
  <c r="K15" i="3"/>
  <c r="J15" i="3"/>
  <c r="I15" i="3"/>
  <c r="H15" i="3"/>
  <c r="G15" i="3"/>
  <c r="F15" i="3"/>
  <c r="E15" i="3"/>
  <c r="L14" i="3"/>
  <c r="K14" i="3"/>
  <c r="J14" i="3"/>
  <c r="I14" i="3"/>
  <c r="I17" i="3" s="1"/>
  <c r="H14" i="3"/>
  <c r="G14" i="3"/>
  <c r="F14" i="3"/>
  <c r="E14" i="3"/>
  <c r="L13" i="3"/>
  <c r="L11" i="3"/>
  <c r="C8" i="3"/>
  <c r="F45" i="3" s="1"/>
  <c r="F48" i="3" s="1"/>
  <c r="C7" i="3"/>
  <c r="K36" i="3" l="1"/>
  <c r="G36" i="3"/>
  <c r="G39" i="3" s="1"/>
  <c r="J36" i="3"/>
  <c r="J39" i="3" s="1"/>
  <c r="I36" i="3"/>
  <c r="I39" i="3" s="1"/>
  <c r="H36" i="3"/>
  <c r="H39" i="3" s="1"/>
  <c r="L36" i="3"/>
  <c r="L39" i="3" s="1"/>
  <c r="D41" i="3" s="1"/>
  <c r="C56" i="3" s="1"/>
  <c r="J20" i="2"/>
  <c r="H44" i="2"/>
  <c r="I20" i="2"/>
  <c r="K39" i="3"/>
  <c r="L48" i="3"/>
  <c r="F41" i="2"/>
  <c r="F44" i="2" s="1"/>
  <c r="E41" i="2"/>
  <c r="E44" i="2" s="1"/>
  <c r="D41" i="2"/>
  <c r="D44" i="2" s="1"/>
  <c r="I41" i="2"/>
  <c r="K41" i="2"/>
  <c r="K44" i="2" s="1"/>
  <c r="J41" i="2"/>
  <c r="H41" i="2"/>
  <c r="G41" i="2"/>
  <c r="D13" i="1"/>
  <c r="E13" i="1" s="1"/>
  <c r="D67" i="2"/>
  <c r="E48" i="3"/>
  <c r="G44" i="2"/>
  <c r="G66" i="2"/>
  <c r="H17" i="2"/>
  <c r="I64" i="2" s="1"/>
  <c r="E17" i="2"/>
  <c r="J17" i="2"/>
  <c r="I17" i="2"/>
  <c r="J64" i="2" s="1"/>
  <c r="K17" i="2"/>
  <c r="K20" i="2" s="1"/>
  <c r="F17" i="2"/>
  <c r="G17" i="2"/>
  <c r="H64" i="2" s="1"/>
  <c r="D17" i="2"/>
  <c r="H20" i="2"/>
  <c r="G20" i="2"/>
  <c r="H65" i="2"/>
  <c r="F39" i="3"/>
  <c r="F28" i="2"/>
  <c r="D48" i="3"/>
  <c r="D50" i="3" s="1"/>
  <c r="C57" i="3" s="1"/>
  <c r="G28" i="2"/>
  <c r="H66" i="2"/>
  <c r="C20" i="2"/>
  <c r="I43" i="2"/>
  <c r="I16" i="1"/>
  <c r="J43" i="2"/>
  <c r="E45" i="3"/>
  <c r="C58" i="3" l="1"/>
  <c r="E61" i="3" s="1"/>
  <c r="E31" i="1"/>
  <c r="E33" i="1" s="1"/>
  <c r="D23" i="1"/>
  <c r="E23" i="1" s="1"/>
  <c r="C25" i="1" s="1"/>
  <c r="B15" i="1"/>
  <c r="B17" i="1" s="1"/>
  <c r="B14" i="1"/>
  <c r="D20" i="2"/>
  <c r="E67" i="2"/>
  <c r="C69" i="2" s="1"/>
  <c r="E71" i="2" s="1"/>
  <c r="J66" i="2"/>
  <c r="J67" i="2" s="1"/>
  <c r="J44" i="2"/>
  <c r="I44" i="2"/>
  <c r="C46" i="2" s="1"/>
  <c r="D52" i="2" s="1"/>
  <c r="I66" i="2"/>
  <c r="I67" i="2" s="1"/>
  <c r="G64" i="2"/>
  <c r="G67" i="2" s="1"/>
  <c r="F20" i="2"/>
  <c r="F64" i="2"/>
  <c r="F67" i="2" s="1"/>
  <c r="E20" i="2"/>
  <c r="H67" i="2"/>
  <c r="C22" i="2" l="1"/>
  <c r="G69" i="2"/>
  <c r="D51" i="2"/>
  <c r="D53" i="2"/>
  <c r="F25" i="1"/>
  <c r="E35" i="1"/>
  <c r="E73" i="2" l="1"/>
</calcChain>
</file>

<file path=xl/sharedStrings.xml><?xml version="1.0" encoding="utf-8"?>
<sst xmlns="http://schemas.openxmlformats.org/spreadsheetml/2006/main" count="154" uniqueCount="112">
  <si>
    <t>So the cost of waiting -- one year's worth of sales plus a delay in inflows, exceeds the benefits.</t>
    <phoneticPr fontId="4" type="noConversion"/>
  </si>
  <si>
    <t xml:space="preserve">  We should accept the contract and begin immediately.</t>
    <phoneticPr fontId="4" type="noConversion"/>
  </si>
  <si>
    <t>By spending an additional $250,000 in construction costs we buy an option to switch to thermoset plastic, which is a cheaper input.</t>
    <phoneticPr fontId="4" type="noConversion"/>
  </si>
  <si>
    <t xml:space="preserve">    The benefits of this option exceed its costs by the amount in Cell E61.</t>
    <phoneticPr fontId="4" type="noConversion"/>
  </si>
  <si>
    <t xml:space="preserve">         as we shift to the cheaper input.</t>
    <phoneticPr fontId="4" type="noConversion"/>
  </si>
  <si>
    <t xml:space="preserve"> &lt;--- Note that in this scenario our after-tax profit is higher starting in Year 3,</t>
    <phoneticPr fontId="4" type="noConversion"/>
  </si>
  <si>
    <t xml:space="preserve">  Of course this is contingent on the probability that 3M is successful in bringing the thermoset plastic to market.</t>
    <phoneticPr fontId="4" type="noConversion"/>
  </si>
  <si>
    <t xml:space="preserve">    If we wait 2 years (to start building), the annuity would start in 3 years.  (First cash flow at T=4.)</t>
    <phoneticPr fontId="4" type="noConversion"/>
  </si>
  <si>
    <t>Of course we shift the cash flows back 2 years, but the benefits of waiting outweigh this cost.</t>
    <phoneticPr fontId="4" type="noConversion"/>
  </si>
  <si>
    <t>The project ends at year 9.  At that point, we get the use of the real estate:</t>
    <phoneticPr fontId="4" type="noConversion"/>
  </si>
  <si>
    <t>--- so we add this back to the project's NPV.</t>
    <phoneticPr fontId="4" type="noConversion"/>
  </si>
  <si>
    <t>And we would recover the land in 11 years:</t>
    <phoneticPr fontId="4" type="noConversion"/>
  </si>
  <si>
    <t xml:space="preserve">  The reason is that by waiting we avoid the large loss if the project ends up being worthless.</t>
    <phoneticPr fontId="4" type="noConversion"/>
  </si>
  <si>
    <t>The point is that whereas the expected value of the project's annuity is 250, the most important aspect of the project is the dispersion between the high and low states.</t>
    <phoneticPr fontId="4" type="noConversion"/>
  </si>
  <si>
    <t xml:space="preserve">  Dollar revenues (expected since the expected value of an exchange rate is its current value).</t>
    <phoneticPr fontId="4" type="noConversion"/>
  </si>
  <si>
    <t xml:space="preserve">  (Our manufacturing costs are in dollars.)</t>
    <phoneticPr fontId="4" type="noConversion"/>
  </si>
  <si>
    <t>Capital Outlay:</t>
    <phoneticPr fontId="4" type="noConversion"/>
  </si>
  <si>
    <t>The project has a positive NPV.  However, in light of the fact that if the tariff is imposed, your family would lose almost $631,000, it is worth considering waiting.</t>
    <phoneticPr fontId="4" type="noConversion"/>
  </si>
  <si>
    <t>Expected NPV:</t>
    <phoneticPr fontId="4" type="noConversion"/>
  </si>
  <si>
    <t xml:space="preserve"> The annuity starts in 1 year (i.e., the first cash flow occurs at year 2), so we have to discount it back to Time 0.</t>
    <phoneticPr fontId="4" type="noConversion"/>
  </si>
  <si>
    <t xml:space="preserve"> If we wait 2 years to start construction, we would not incur the cash outlay until 2 years from now.  However, we are tying up the land while we wait -- so we recognize its value as an immediate cash outlay.</t>
    <phoneticPr fontId="4" type="noConversion"/>
  </si>
  <si>
    <t>Concern about first-mover advantage:</t>
    <phoneticPr fontId="4" type="noConversion"/>
  </si>
  <si>
    <t xml:space="preserve">  The value of waiting is:</t>
    <phoneticPr fontId="4" type="noConversion"/>
  </si>
  <si>
    <t>If we wait the up-state annuity falls to:</t>
    <phoneticPr fontId="4" type="noConversion"/>
  </si>
  <si>
    <t xml:space="preserve">   And the present value of the capital outlay is:</t>
    <phoneticPr fontId="4" type="noConversion"/>
  </si>
  <si>
    <t xml:space="preserve">  So the project's expected present value is:</t>
    <phoneticPr fontId="4" type="noConversion"/>
  </si>
  <si>
    <t>In this case the Present Value of the inflows is:</t>
    <phoneticPr fontId="4" type="noConversion"/>
  </si>
  <si>
    <t>In this case the value of waiting is:</t>
    <phoneticPr fontId="4" type="noConversion"/>
  </si>
  <si>
    <t xml:space="preserve">   which is still positive.</t>
    <phoneticPr fontId="4" type="noConversion"/>
  </si>
  <si>
    <t>So waiting is advantageous even with this large loss of first-mover advantage in this case.</t>
    <phoneticPr fontId="4" type="noConversion"/>
  </si>
  <si>
    <t>Yen/$</t>
    <phoneticPr fontId="4" type="noConversion"/>
  </si>
  <si>
    <t>Revs:</t>
    <phoneticPr fontId="4" type="noConversion"/>
  </si>
  <si>
    <t>yen</t>
    <phoneticPr fontId="4" type="noConversion"/>
  </si>
  <si>
    <t>==&gt;</t>
    <phoneticPr fontId="4" type="noConversion"/>
  </si>
  <si>
    <t>Cost of mfg:</t>
    <phoneticPr fontId="4" type="noConversion"/>
  </si>
  <si>
    <t>The reason this is valuable is that by waiting we avoid investing in a flop.</t>
    <phoneticPr fontId="4" type="noConversion"/>
  </si>
  <si>
    <t>Credit Spread:</t>
    <phoneticPr fontId="4" type="noConversion"/>
  </si>
  <si>
    <t>Risk Premium:</t>
    <phoneticPr fontId="4" type="noConversion"/>
  </si>
  <si>
    <t>Again, we do not use wacc to value real options, since they are completely uncollaterizable.</t>
    <phoneticPr fontId="4" type="noConversion"/>
  </si>
  <si>
    <t>% in Cap Structure</t>
    <phoneticPr fontId="4" type="noConversion"/>
  </si>
  <si>
    <t>NPV analysis:</t>
    <phoneticPr fontId="4" type="noConversion"/>
  </si>
  <si>
    <t>Time 0 Cash Outflows:</t>
    <phoneticPr fontId="4" type="noConversion"/>
  </si>
  <si>
    <t xml:space="preserve">  Land:</t>
    <phoneticPr fontId="4" type="noConversion"/>
  </si>
  <si>
    <t>Plan &amp; Eq</t>
    <phoneticPr fontId="4" type="noConversion"/>
  </si>
  <si>
    <t>ke:</t>
    <phoneticPr fontId="4" type="noConversion"/>
  </si>
  <si>
    <t>rf</t>
    <phoneticPr fontId="4" type="noConversion"/>
  </si>
  <si>
    <t>ytm-AMAT:</t>
    <phoneticPr fontId="4" type="noConversion"/>
  </si>
  <si>
    <t>beta</t>
    <phoneticPr fontId="4" type="noConversion"/>
  </si>
  <si>
    <t>E(Rm)-rf</t>
    <phoneticPr fontId="4" type="noConversion"/>
  </si>
  <si>
    <t>A-T kd:</t>
    <phoneticPr fontId="4" type="noConversion"/>
  </si>
  <si>
    <t>tax rate:</t>
    <phoneticPr fontId="4" type="noConversion"/>
  </si>
  <si>
    <t>WACC:</t>
    <phoneticPr fontId="4" type="noConversion"/>
  </si>
  <si>
    <t>Annuity:</t>
    <phoneticPr fontId="4" type="noConversion"/>
  </si>
  <si>
    <t xml:space="preserve"> years</t>
    <phoneticPr fontId="4" type="noConversion"/>
  </si>
  <si>
    <t>PV:</t>
    <phoneticPr fontId="4" type="noConversion"/>
  </si>
  <si>
    <t>NPV:</t>
    <phoneticPr fontId="4" type="noConversion"/>
  </si>
  <si>
    <t>Wait 2 years:</t>
    <phoneticPr fontId="4" type="noConversion"/>
  </si>
  <si>
    <t>Option analysis so use ke</t>
    <phoneticPr fontId="4" type="noConversion"/>
  </si>
  <si>
    <t>PV of capital outlay:</t>
    <phoneticPr fontId="4" type="noConversion"/>
  </si>
  <si>
    <t>Value of Annuity in ``Up-State:</t>
    <phoneticPr fontId="4" type="noConversion"/>
  </si>
  <si>
    <t>Project's EPV:</t>
    <phoneticPr fontId="4" type="noConversion"/>
  </si>
  <si>
    <t>Scenario where the new material does not become available:</t>
    <phoneticPr fontId="4" type="noConversion"/>
  </si>
  <si>
    <t>Pr * PV</t>
    <phoneticPr fontId="4" type="noConversion"/>
  </si>
  <si>
    <t>NPV of the more flexible plant.</t>
    <phoneticPr fontId="4" type="noConversion"/>
  </si>
  <si>
    <t xml:space="preserve">  NPV of the less flexible plant.</t>
    <phoneticPr fontId="4" type="noConversion"/>
  </si>
  <si>
    <t>If we wait one year, then we would not incur the investment and enter the agreement if the tariff is imposed.</t>
    <phoneticPr fontId="4" type="noConversion"/>
  </si>
  <si>
    <t xml:space="preserve">  So the value of the project in this state is:</t>
    <phoneticPr fontId="4" type="noConversion"/>
  </si>
  <si>
    <t>So the expected value of the project if we wait is:</t>
    <phoneticPr fontId="4" type="noConversion"/>
  </si>
  <si>
    <t>Therfore the value of waiting is:</t>
    <phoneticPr fontId="4" type="noConversion"/>
  </si>
  <si>
    <t>Current cost per suit:</t>
    <phoneticPr fontId="4" type="noConversion"/>
  </si>
  <si>
    <t>Tax rate:</t>
    <phoneticPr fontId="4" type="noConversion"/>
  </si>
  <si>
    <t>7-year MACRS:</t>
    <phoneticPr fontId="4" type="noConversion"/>
  </si>
  <si>
    <t>Rev per suit:</t>
    <phoneticPr fontId="4" type="noConversion"/>
  </si>
  <si>
    <t>Suits:</t>
    <phoneticPr fontId="4" type="noConversion"/>
  </si>
  <si>
    <t>Pre-Tax Profit:</t>
    <phoneticPr fontId="4" type="noConversion"/>
  </si>
  <si>
    <t xml:space="preserve">          ke</t>
    <phoneticPr fontId="4" type="noConversion"/>
  </si>
  <si>
    <t>Year</t>
    <phoneticPr fontId="4" type="noConversion"/>
  </si>
  <si>
    <t>Land</t>
    <phoneticPr fontId="4" type="noConversion"/>
  </si>
  <si>
    <t>Capital</t>
    <phoneticPr fontId="4" type="noConversion"/>
  </si>
  <si>
    <t>After Tx Prof:</t>
    <phoneticPr fontId="4" type="noConversion"/>
  </si>
  <si>
    <t>After-tax Profit:</t>
    <phoneticPr fontId="4" type="noConversion"/>
  </si>
  <si>
    <t>Invent Invst:</t>
    <phoneticPr fontId="4" type="noConversion"/>
  </si>
  <si>
    <t>Deprec Tx Shield:</t>
    <phoneticPr fontId="4" type="noConversion"/>
  </si>
  <si>
    <t>discount fctr:</t>
    <phoneticPr fontId="4" type="noConversion"/>
  </si>
  <si>
    <t>With the thermoset plastic:</t>
    <phoneticPr fontId="4" type="noConversion"/>
  </si>
  <si>
    <t>New cost per suit:</t>
    <phoneticPr fontId="4" type="noConversion"/>
  </si>
  <si>
    <t>Pre-tax Profit:</t>
    <phoneticPr fontId="4" type="noConversion"/>
  </si>
  <si>
    <t>Probability:</t>
    <phoneticPr fontId="4" type="noConversion"/>
  </si>
  <si>
    <t>Expected net present value of enhanced flexibility:</t>
    <phoneticPr fontId="4" type="noConversion"/>
  </si>
  <si>
    <t>profit per suit:</t>
    <phoneticPr fontId="4" type="noConversion"/>
  </si>
  <si>
    <t>After-tax profit per suit:</t>
    <phoneticPr fontId="4" type="noConversion"/>
  </si>
  <si>
    <t>Tax rate:</t>
    <phoneticPr fontId="4" type="noConversion"/>
  </si>
  <si>
    <t>Suits:</t>
    <phoneticPr fontId="4" type="noConversion"/>
  </si>
  <si>
    <t>Total annual after-tax profit:</t>
    <phoneticPr fontId="4" type="noConversion"/>
  </si>
  <si>
    <t xml:space="preserve">    ke</t>
    <phoneticPr fontId="4" type="noConversion"/>
  </si>
  <si>
    <t>3-year MACRS Table:</t>
    <phoneticPr fontId="4" type="noConversion"/>
  </si>
  <si>
    <t>Year:</t>
    <phoneticPr fontId="4" type="noConversion"/>
  </si>
  <si>
    <t>Allowance:</t>
    <phoneticPr fontId="4" type="noConversion"/>
  </si>
  <si>
    <t>Time line:</t>
    <phoneticPr fontId="4" type="noConversion"/>
  </si>
  <si>
    <t>Cap Outlay:</t>
    <phoneticPr fontId="4" type="noConversion"/>
  </si>
  <si>
    <t>A-T inflows:</t>
    <phoneticPr fontId="4" type="noConversion"/>
  </si>
  <si>
    <t>Deprec Tax Shield:</t>
    <phoneticPr fontId="4" type="noConversion"/>
  </si>
  <si>
    <t>discount factor:</t>
    <phoneticPr fontId="4" type="noConversion"/>
  </si>
  <si>
    <t>NPV:</t>
    <phoneticPr fontId="4" type="noConversion"/>
  </si>
  <si>
    <t>In this scenario, the project's NPV would be:</t>
    <phoneticPr fontId="4" type="noConversion"/>
  </si>
  <si>
    <t>Probability of no tariff:</t>
    <phoneticPr fontId="4" type="noConversion"/>
  </si>
  <si>
    <t>Prob of tariff:</t>
    <phoneticPr fontId="4" type="noConversion"/>
  </si>
  <si>
    <t>Effect of the 40% import tariff:</t>
  </si>
  <si>
    <t>Yen revenues per suit drop so that 1.4R = 495,000:</t>
  </si>
  <si>
    <t>$ Revenues per suit:</t>
  </si>
  <si>
    <t xml:space="preserve">  In the no-tariff state of nature,</t>
  </si>
  <si>
    <t>Note that this is simply: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</si>
</sst>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6" x14ac:knownFonts="1">
    <font>
      <sz val="10"/>
      <name val="Verdana"/>
    </font>
    <font>
      <b/>
      <sz val="10"/>
      <name val="Verdana"/>
      <family val="2"/>
    </font>
    <font>
      <b/>
      <sz val="10"/>
      <name val="Verdana"/>
      <family val="2"/>
    </font>
    <font>
      <b/>
      <sz val="10"/>
      <name val="Verdana"/>
      <family val="2"/>
    </font>
    <font>
      <sz val="8"/>
      <name val="Verdana"/>
      <family val="2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1">
    <xf numFmtId="0" fontId="0" fillId="0" borderId="0" xfId="0"/>
    <xf numFmtId="3" fontId="0" fillId="0" borderId="0" xfId="0" applyNumberFormat="1"/>
    <xf numFmtId="0" fontId="3" fillId="0" borderId="0" xfId="0" applyFont="1"/>
    <xf numFmtId="3" fontId="3" fillId="0" borderId="0" xfId="0" applyNumberFormat="1" applyFont="1"/>
    <xf numFmtId="0" fontId="0" fillId="0" borderId="0" xfId="0" applyAlignment="1">
      <alignment horizontal="center"/>
    </xf>
    <xf numFmtId="3" fontId="2" fillId="0" borderId="0" xfId="0" applyNumberFormat="1" applyFont="1"/>
    <xf numFmtId="0" fontId="0" fillId="0" borderId="0" xfId="0" quotePrefix="1"/>
    <xf numFmtId="0" fontId="2" fillId="0" borderId="0" xfId="0" applyFont="1"/>
    <xf numFmtId="3" fontId="1" fillId="0" borderId="0" xfId="0" applyNumberFormat="1" applyFont="1"/>
    <xf numFmtId="0" fontId="5" fillId="0" borderId="0" xfId="0" applyFont="1"/>
    <xf numFmtId="165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/>
  <dimension ref="A1:L39"/>
  <sheetViews>
    <sheetView workbookViewId="0">
      <selection activeCell="A40" sqref="A40"/>
    </sheetView>
  </sheetViews>
  <sheetFormatPr baseColWidth="10" defaultRowHeight="13" x14ac:dyDescent="0.15"/>
  <cols>
    <col min="2" max="2" width="14" customWidth="1"/>
    <col min="3" max="3" width="11.83203125" bestFit="1" customWidth="1"/>
    <col min="4" max="5" width="12.1640625" customWidth="1"/>
    <col min="6" max="6" width="13.1640625" customWidth="1"/>
    <col min="7" max="7" width="11.83203125" customWidth="1"/>
    <col min="9" max="9" width="13.83203125" customWidth="1"/>
  </cols>
  <sheetData>
    <row r="1" spans="1:10" x14ac:dyDescent="0.15">
      <c r="A1" t="s">
        <v>40</v>
      </c>
      <c r="I1" t="s">
        <v>39</v>
      </c>
    </row>
    <row r="2" spans="1:10" x14ac:dyDescent="0.15">
      <c r="B2" t="s">
        <v>41</v>
      </c>
      <c r="F2" s="2" t="s">
        <v>51</v>
      </c>
      <c r="G2" t="s">
        <v>44</v>
      </c>
      <c r="H2">
        <f>B6+B8*B9</f>
        <v>9.6000000000000002E-2</v>
      </c>
      <c r="I2" s="4">
        <v>0.92</v>
      </c>
    </row>
    <row r="3" spans="1:10" x14ac:dyDescent="0.15">
      <c r="B3" t="s">
        <v>42</v>
      </c>
      <c r="C3">
        <v>50</v>
      </c>
      <c r="D3">
        <v>75000</v>
      </c>
      <c r="E3" s="1">
        <f>C3*D3</f>
        <v>3750000</v>
      </c>
      <c r="G3" t="s">
        <v>36</v>
      </c>
      <c r="H3">
        <f>B7-B6</f>
        <v>9.3999999999999986E-3</v>
      </c>
      <c r="I3" s="4" t="s">
        <v>37</v>
      </c>
      <c r="J3">
        <f>0.5*H3</f>
        <v>4.6999999999999993E-3</v>
      </c>
    </row>
    <row r="4" spans="1:10" x14ac:dyDescent="0.15">
      <c r="B4" t="s">
        <v>43</v>
      </c>
      <c r="E4" s="1">
        <v>1000000000</v>
      </c>
      <c r="F4" s="2">
        <f>I2*H2+I4*H4</f>
        <v>9.0784480000000015E-2</v>
      </c>
      <c r="G4" t="s">
        <v>49</v>
      </c>
      <c r="H4">
        <f>(1-B10)*(B6+J3)</f>
        <v>3.0806E-2</v>
      </c>
      <c r="I4" s="4">
        <f>1-I2</f>
        <v>7.999999999999996E-2</v>
      </c>
    </row>
    <row r="6" spans="1:10" x14ac:dyDescent="0.15">
      <c r="A6" t="s">
        <v>45</v>
      </c>
      <c r="B6">
        <v>3.7499999999999999E-2</v>
      </c>
    </row>
    <row r="7" spans="1:10" x14ac:dyDescent="0.15">
      <c r="A7" t="s">
        <v>46</v>
      </c>
      <c r="B7">
        <f>B6+0.0094</f>
        <v>4.6899999999999997E-2</v>
      </c>
    </row>
    <row r="8" spans="1:10" x14ac:dyDescent="0.15">
      <c r="A8" t="s">
        <v>47</v>
      </c>
      <c r="B8">
        <v>1.3</v>
      </c>
    </row>
    <row r="9" spans="1:10" x14ac:dyDescent="0.15">
      <c r="A9" t="s">
        <v>48</v>
      </c>
      <c r="B9">
        <v>4.4999999999999998E-2</v>
      </c>
    </row>
    <row r="10" spans="1:10" x14ac:dyDescent="0.15">
      <c r="A10" t="s">
        <v>50</v>
      </c>
      <c r="B10">
        <v>0.27</v>
      </c>
    </row>
    <row r="12" spans="1:10" x14ac:dyDescent="0.15">
      <c r="A12" t="s">
        <v>52</v>
      </c>
    </row>
    <row r="13" spans="1:10" x14ac:dyDescent="0.15">
      <c r="A13">
        <v>8</v>
      </c>
      <c r="B13" t="s">
        <v>53</v>
      </c>
      <c r="C13">
        <f>1/F4</f>
        <v>11.015098615974887</v>
      </c>
      <c r="D13">
        <f>C13/(1+F4)^A13</f>
        <v>5.4963804890793293</v>
      </c>
      <c r="E13">
        <f>C13-D13</f>
        <v>5.5187181268955579</v>
      </c>
    </row>
    <row r="14" spans="1:10" x14ac:dyDescent="0.15">
      <c r="A14" s="1">
        <v>250000000</v>
      </c>
      <c r="B14" s="1">
        <f>A14*E13</f>
        <v>1379679531.7238894</v>
      </c>
    </row>
    <row r="15" spans="1:10" x14ac:dyDescent="0.15">
      <c r="A15" t="s">
        <v>54</v>
      </c>
      <c r="B15" s="1">
        <f>A14*E13/(1+F4)</f>
        <v>1264850717.09481</v>
      </c>
      <c r="C15" t="s">
        <v>19</v>
      </c>
    </row>
    <row r="16" spans="1:10" x14ac:dyDescent="0.15">
      <c r="D16" t="s">
        <v>9</v>
      </c>
      <c r="I16">
        <f>E3/(1+F4)^9</f>
        <v>1715460.4795871754</v>
      </c>
    </row>
    <row r="17" spans="1:12" x14ac:dyDescent="0.15">
      <c r="A17" t="s">
        <v>55</v>
      </c>
      <c r="B17" s="3">
        <f>B15-E4-E3+I16</f>
        <v>262816177.57439718</v>
      </c>
      <c r="D17" s="6" t="s">
        <v>10</v>
      </c>
    </row>
    <row r="20" spans="1:12" x14ac:dyDescent="0.15">
      <c r="A20" t="s">
        <v>56</v>
      </c>
      <c r="B20" t="s">
        <v>57</v>
      </c>
      <c r="D20" t="s">
        <v>38</v>
      </c>
    </row>
    <row r="22" spans="1:12" x14ac:dyDescent="0.15">
      <c r="A22" t="s">
        <v>58</v>
      </c>
      <c r="C22" s="1">
        <f>E3+E4/(1+H2)^2</f>
        <v>836239743.7263571</v>
      </c>
      <c r="D22" t="s">
        <v>20</v>
      </c>
    </row>
    <row r="23" spans="1:12" x14ac:dyDescent="0.15">
      <c r="A23" t="s">
        <v>59</v>
      </c>
      <c r="C23" s="1">
        <v>500000000</v>
      </c>
      <c r="D23" s="1">
        <f>C23*E13</f>
        <v>2759359063.4477787</v>
      </c>
      <c r="E23" s="1">
        <f>D23/(1+H2)^3</f>
        <v>2095928941.2213886</v>
      </c>
      <c r="F23" t="s">
        <v>7</v>
      </c>
    </row>
    <row r="24" spans="1:12" x14ac:dyDescent="0.15">
      <c r="I24" t="s">
        <v>11</v>
      </c>
      <c r="L24">
        <f>E3/(1+H2)^11</f>
        <v>1368091.5865588125</v>
      </c>
    </row>
    <row r="25" spans="1:12" x14ac:dyDescent="0.15">
      <c r="A25" t="s">
        <v>60</v>
      </c>
      <c r="C25" s="5">
        <f>0.5*(E23-C22+L24)</f>
        <v>630528644.54079509</v>
      </c>
      <c r="D25" t="s">
        <v>22</v>
      </c>
      <c r="F25" s="5">
        <f>C25-B17</f>
        <v>367712466.96639788</v>
      </c>
    </row>
    <row r="26" spans="1:12" x14ac:dyDescent="0.15">
      <c r="D26" t="s">
        <v>35</v>
      </c>
    </row>
    <row r="27" spans="1:12" x14ac:dyDescent="0.15">
      <c r="D27" t="s">
        <v>8</v>
      </c>
    </row>
    <row r="29" spans="1:12" x14ac:dyDescent="0.15">
      <c r="A29" t="s">
        <v>21</v>
      </c>
    </row>
    <row r="30" spans="1:12" x14ac:dyDescent="0.15">
      <c r="A30" t="s">
        <v>23</v>
      </c>
      <c r="D30" s="1">
        <v>400000000</v>
      </c>
    </row>
    <row r="31" spans="1:12" x14ac:dyDescent="0.15">
      <c r="A31" t="s">
        <v>26</v>
      </c>
      <c r="E31" s="1">
        <f>D30*E13/(1+H2)^3</f>
        <v>1676743152.9771111</v>
      </c>
    </row>
    <row r="32" spans="1:12" x14ac:dyDescent="0.15">
      <c r="A32" t="s">
        <v>24</v>
      </c>
      <c r="E32" s="1">
        <f>C22</f>
        <v>836239743.7263571</v>
      </c>
    </row>
    <row r="33" spans="1:6" x14ac:dyDescent="0.15">
      <c r="A33" t="s">
        <v>25</v>
      </c>
      <c r="E33" s="5">
        <f>0.5*(E31-E32+L24)</f>
        <v>420935750.41865641</v>
      </c>
    </row>
    <row r="35" spans="1:6" x14ac:dyDescent="0.15">
      <c r="A35" t="s">
        <v>27</v>
      </c>
      <c r="E35" s="5">
        <f>E33-B17</f>
        <v>158119572.84425923</v>
      </c>
      <c r="F35" t="s">
        <v>28</v>
      </c>
    </row>
    <row r="36" spans="1:6" x14ac:dyDescent="0.15">
      <c r="A36" t="s">
        <v>29</v>
      </c>
    </row>
    <row r="37" spans="1:6" x14ac:dyDescent="0.15">
      <c r="A37" t="s">
        <v>12</v>
      </c>
    </row>
    <row r="39" spans="1:6" x14ac:dyDescent="0.15">
      <c r="A39" t="s">
        <v>13</v>
      </c>
    </row>
  </sheetData>
  <phoneticPr fontId="4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published="0"/>
  <dimension ref="A1:L76"/>
  <sheetViews>
    <sheetView tabSelected="1" workbookViewId="0">
      <selection activeCell="D19" sqref="D19:K19"/>
    </sheetView>
  </sheetViews>
  <sheetFormatPr baseColWidth="10" defaultRowHeight="13" x14ac:dyDescent="0.15"/>
  <cols>
    <col min="2" max="2" width="12.6640625" customWidth="1"/>
    <col min="7" max="7" width="13.83203125" bestFit="1" customWidth="1"/>
  </cols>
  <sheetData>
    <row r="1" spans="1:12" x14ac:dyDescent="0.15">
      <c r="A1" t="s">
        <v>30</v>
      </c>
      <c r="B1" s="1">
        <v>110</v>
      </c>
      <c r="G1" t="s">
        <v>91</v>
      </c>
      <c r="H1">
        <v>0.23</v>
      </c>
      <c r="I1" t="s">
        <v>94</v>
      </c>
      <c r="J1">
        <v>0.11</v>
      </c>
    </row>
    <row r="2" spans="1:12" x14ac:dyDescent="0.15">
      <c r="A2" t="s">
        <v>31</v>
      </c>
      <c r="B2" s="1">
        <v>495000</v>
      </c>
      <c r="C2" t="s">
        <v>32</v>
      </c>
      <c r="D2" s="6" t="s">
        <v>33</v>
      </c>
      <c r="E2">
        <f>B2/B1</f>
        <v>4500</v>
      </c>
      <c r="F2" t="s">
        <v>14</v>
      </c>
    </row>
    <row r="3" spans="1:12" x14ac:dyDescent="0.15">
      <c r="K3" s="7"/>
    </row>
    <row r="4" spans="1:12" x14ac:dyDescent="0.15">
      <c r="A4" t="s">
        <v>34</v>
      </c>
      <c r="E4">
        <v>3100</v>
      </c>
      <c r="F4" t="s">
        <v>15</v>
      </c>
    </row>
    <row r="5" spans="1:12" x14ac:dyDescent="0.15">
      <c r="G5" t="s">
        <v>95</v>
      </c>
    </row>
    <row r="6" spans="1:12" x14ac:dyDescent="0.15">
      <c r="A6" t="s">
        <v>89</v>
      </c>
      <c r="E6">
        <f>E2-E4</f>
        <v>1400</v>
      </c>
      <c r="H6" t="s">
        <v>96</v>
      </c>
      <c r="I6">
        <v>1</v>
      </c>
      <c r="J6">
        <v>2</v>
      </c>
      <c r="K6">
        <v>3</v>
      </c>
      <c r="L6">
        <v>4</v>
      </c>
    </row>
    <row r="7" spans="1:12" x14ac:dyDescent="0.15">
      <c r="A7" t="s">
        <v>90</v>
      </c>
      <c r="E7">
        <f>(1-H1)*E6</f>
        <v>1078</v>
      </c>
      <c r="H7" t="s">
        <v>97</v>
      </c>
      <c r="I7">
        <v>0.33329999999999999</v>
      </c>
      <c r="J7">
        <v>0.44450000000000001</v>
      </c>
      <c r="K7">
        <v>0.14810000000000001</v>
      </c>
      <c r="L7">
        <v>7.4099999999999999E-2</v>
      </c>
    </row>
    <row r="8" spans="1:12" x14ac:dyDescent="0.15">
      <c r="A8" t="s">
        <v>92</v>
      </c>
      <c r="E8">
        <v>400</v>
      </c>
    </row>
    <row r="9" spans="1:12" x14ac:dyDescent="0.15">
      <c r="A9" t="s">
        <v>93</v>
      </c>
      <c r="E9" s="1">
        <f>E7*E8</f>
        <v>431200</v>
      </c>
    </row>
    <row r="11" spans="1:12" x14ac:dyDescent="0.15">
      <c r="A11" t="s">
        <v>16</v>
      </c>
      <c r="E11" s="1">
        <v>1000000</v>
      </c>
    </row>
    <row r="14" spans="1:12" x14ac:dyDescent="0.15">
      <c r="A14" t="s">
        <v>98</v>
      </c>
    </row>
    <row r="15" spans="1:12" x14ac:dyDescent="0.15">
      <c r="B15" t="s">
        <v>96</v>
      </c>
      <c r="C15">
        <v>0</v>
      </c>
      <c r="D15">
        <v>1</v>
      </c>
      <c r="E15">
        <v>2</v>
      </c>
      <c r="F15">
        <v>3</v>
      </c>
      <c r="G15">
        <v>4</v>
      </c>
      <c r="H15">
        <v>5</v>
      </c>
      <c r="I15">
        <v>6</v>
      </c>
      <c r="J15">
        <v>7</v>
      </c>
      <c r="K15">
        <v>8</v>
      </c>
    </row>
    <row r="16" spans="1:12" x14ac:dyDescent="0.15">
      <c r="B16" t="s">
        <v>99</v>
      </c>
      <c r="C16" s="1">
        <f>-E11</f>
        <v>-1000000</v>
      </c>
    </row>
    <row r="17" spans="1:11" x14ac:dyDescent="0.15">
      <c r="B17" t="s">
        <v>100</v>
      </c>
      <c r="D17" s="1">
        <f>$E$9</f>
        <v>431200</v>
      </c>
      <c r="E17" s="1">
        <f t="shared" ref="E17:K17" si="0">$E$9</f>
        <v>431200</v>
      </c>
      <c r="F17" s="1">
        <f t="shared" si="0"/>
        <v>431200</v>
      </c>
      <c r="G17" s="1">
        <f t="shared" si="0"/>
        <v>431200</v>
      </c>
      <c r="H17" s="1">
        <f t="shared" si="0"/>
        <v>431200</v>
      </c>
      <c r="I17" s="1">
        <f t="shared" si="0"/>
        <v>431200</v>
      </c>
      <c r="J17" s="1">
        <f t="shared" si="0"/>
        <v>431200</v>
      </c>
      <c r="K17" s="1">
        <f t="shared" si="0"/>
        <v>431200</v>
      </c>
    </row>
    <row r="18" spans="1:11" x14ac:dyDescent="0.15">
      <c r="B18" t="s">
        <v>101</v>
      </c>
      <c r="D18" s="1">
        <f>$H$1*$E$11*I7</f>
        <v>76659</v>
      </c>
      <c r="E18" s="1">
        <f t="shared" ref="E18:G18" si="1">$H$1*$E$11*J7</f>
        <v>102235</v>
      </c>
      <c r="F18" s="1">
        <f t="shared" si="1"/>
        <v>34063</v>
      </c>
      <c r="G18" s="1">
        <f t="shared" si="1"/>
        <v>17043</v>
      </c>
    </row>
    <row r="19" spans="1:11" x14ac:dyDescent="0.15">
      <c r="B19" t="s">
        <v>102</v>
      </c>
      <c r="C19">
        <f>1/(1+$J$1)^C15</f>
        <v>1</v>
      </c>
      <c r="D19">
        <f>EXP(-D15*$J$1)</f>
        <v>0.89583413529652822</v>
      </c>
      <c r="E19">
        <f t="shared" ref="E19:K19" si="2">EXP(-E15*$J$1)</f>
        <v>0.80251879796247849</v>
      </c>
      <c r="F19">
        <f t="shared" si="2"/>
        <v>0.71892373343192617</v>
      </c>
      <c r="G19">
        <f t="shared" si="2"/>
        <v>0.64403642108314141</v>
      </c>
      <c r="H19">
        <f t="shared" si="2"/>
        <v>0.57694981038048665</v>
      </c>
      <c r="I19">
        <f t="shared" si="2"/>
        <v>0.51685133449169918</v>
      </c>
      <c r="J19">
        <f t="shared" si="2"/>
        <v>0.46301306831122807</v>
      </c>
      <c r="K19">
        <f t="shared" si="2"/>
        <v>0.41478291168158138</v>
      </c>
    </row>
    <row r="20" spans="1:11" x14ac:dyDescent="0.15">
      <c r="B20" t="s">
        <v>54</v>
      </c>
      <c r="C20" s="1">
        <f>C19*SUM(C16:C18)</f>
        <v>-1000000</v>
      </c>
      <c r="D20" s="1">
        <f t="shared" ref="D20:K20" si="3">D19*SUM(D16:D18)</f>
        <v>454957.42811755952</v>
      </c>
      <c r="E20" s="1">
        <f t="shared" si="3"/>
        <v>428091.61499111471</v>
      </c>
      <c r="F20" s="1">
        <f t="shared" si="3"/>
        <v>334488.61298773828</v>
      </c>
      <c r="G20" s="1">
        <f t="shared" si="3"/>
        <v>288684.81749557058</v>
      </c>
      <c r="H20" s="1">
        <f t="shared" si="3"/>
        <v>248780.75823606586</v>
      </c>
      <c r="I20" s="1">
        <f t="shared" si="3"/>
        <v>222866.29543282068</v>
      </c>
      <c r="J20" s="1">
        <f t="shared" si="3"/>
        <v>199651.23505580155</v>
      </c>
      <c r="K20" s="1">
        <f t="shared" si="3"/>
        <v>178854.39151709789</v>
      </c>
    </row>
    <row r="21" spans="1:11" x14ac:dyDescent="0.15">
      <c r="D21" s="1"/>
    </row>
    <row r="22" spans="1:11" x14ac:dyDescent="0.15">
      <c r="B22" t="s">
        <v>103</v>
      </c>
      <c r="C22" s="1">
        <f>SUM(C20:K20)</f>
        <v>1356375.153833769</v>
      </c>
    </row>
    <row r="27" spans="1:11" x14ac:dyDescent="0.15">
      <c r="A27" s="9" t="s">
        <v>107</v>
      </c>
    </row>
    <row r="28" spans="1:11" x14ac:dyDescent="0.15">
      <c r="A28" s="9" t="s">
        <v>108</v>
      </c>
      <c r="E28" s="1">
        <f>B2/1.4</f>
        <v>353571.42857142858</v>
      </c>
      <c r="F28">
        <f>E28*0.4</f>
        <v>141428.57142857145</v>
      </c>
      <c r="G28" s="1">
        <f>E28+F28</f>
        <v>495000</v>
      </c>
    </row>
    <row r="29" spans="1:11" x14ac:dyDescent="0.15">
      <c r="A29" s="9" t="s">
        <v>109</v>
      </c>
      <c r="E29" s="1">
        <f>E28/B1</f>
        <v>3214.2857142857142</v>
      </c>
    </row>
    <row r="30" spans="1:11" x14ac:dyDescent="0.15">
      <c r="A30" t="s">
        <v>34</v>
      </c>
      <c r="E30">
        <f>E4</f>
        <v>3100</v>
      </c>
    </row>
    <row r="31" spans="1:11" x14ac:dyDescent="0.15">
      <c r="A31" t="s">
        <v>89</v>
      </c>
      <c r="E31" s="1">
        <f>E29-E30</f>
        <v>114.28571428571422</v>
      </c>
    </row>
    <row r="32" spans="1:11" x14ac:dyDescent="0.15">
      <c r="A32" t="s">
        <v>90</v>
      </c>
      <c r="E32">
        <f>(1-H1)*E31</f>
        <v>87.999999999999957</v>
      </c>
    </row>
    <row r="33" spans="1:12" x14ac:dyDescent="0.15">
      <c r="A33" t="s">
        <v>92</v>
      </c>
      <c r="E33">
        <f>E8</f>
        <v>400</v>
      </c>
    </row>
    <row r="34" spans="1:12" x14ac:dyDescent="0.15">
      <c r="A34" t="s">
        <v>93</v>
      </c>
      <c r="E34" s="1">
        <f>E32*E33</f>
        <v>35199.999999999985</v>
      </c>
    </row>
    <row r="36" spans="1:12" x14ac:dyDescent="0.15">
      <c r="A36" t="s">
        <v>104</v>
      </c>
    </row>
    <row r="37" spans="1:12" x14ac:dyDescent="0.15">
      <c r="A37" t="s">
        <v>98</v>
      </c>
    </row>
    <row r="39" spans="1:12" x14ac:dyDescent="0.15">
      <c r="B39" t="s">
        <v>96</v>
      </c>
      <c r="C39">
        <v>0</v>
      </c>
      <c r="D39">
        <v>1</v>
      </c>
      <c r="E39">
        <v>2</v>
      </c>
      <c r="F39">
        <v>3</v>
      </c>
      <c r="G39">
        <v>4</v>
      </c>
      <c r="H39">
        <v>5</v>
      </c>
      <c r="I39">
        <v>6</v>
      </c>
      <c r="J39">
        <v>7</v>
      </c>
      <c r="K39">
        <v>8</v>
      </c>
    </row>
    <row r="40" spans="1:12" x14ac:dyDescent="0.15">
      <c r="B40" t="s">
        <v>99</v>
      </c>
      <c r="C40" s="1">
        <f>C16</f>
        <v>-1000000</v>
      </c>
    </row>
    <row r="41" spans="1:12" x14ac:dyDescent="0.15">
      <c r="B41" t="s">
        <v>100</v>
      </c>
      <c r="D41" s="1">
        <f>$E$34</f>
        <v>35199.999999999985</v>
      </c>
      <c r="E41" s="1">
        <f t="shared" ref="E41:K41" si="4">$E$34</f>
        <v>35199.999999999985</v>
      </c>
      <c r="F41" s="1">
        <f t="shared" si="4"/>
        <v>35199.999999999985</v>
      </c>
      <c r="G41" s="1">
        <f t="shared" si="4"/>
        <v>35199.999999999985</v>
      </c>
      <c r="H41" s="1">
        <f t="shared" si="4"/>
        <v>35199.999999999985</v>
      </c>
      <c r="I41" s="1">
        <f t="shared" si="4"/>
        <v>35199.999999999985</v>
      </c>
      <c r="J41" s="1">
        <f t="shared" si="4"/>
        <v>35199.999999999985</v>
      </c>
      <c r="K41" s="1">
        <f t="shared" si="4"/>
        <v>35199.999999999985</v>
      </c>
    </row>
    <row r="42" spans="1:12" x14ac:dyDescent="0.15">
      <c r="B42" t="s">
        <v>101</v>
      </c>
      <c r="D42" s="1">
        <f>D18</f>
        <v>76659</v>
      </c>
      <c r="E42" s="1">
        <f t="shared" ref="E42:G42" si="5">E18</f>
        <v>102235</v>
      </c>
      <c r="F42" s="1">
        <f t="shared" si="5"/>
        <v>34063</v>
      </c>
      <c r="G42" s="1">
        <f t="shared" si="5"/>
        <v>17043</v>
      </c>
    </row>
    <row r="43" spans="1:12" x14ac:dyDescent="0.15">
      <c r="B43" t="s">
        <v>102</v>
      </c>
      <c r="C43">
        <f>C19</f>
        <v>1</v>
      </c>
      <c r="D43">
        <f t="shared" ref="D43:K43" si="6">D19</f>
        <v>0.89583413529652822</v>
      </c>
      <c r="E43">
        <f t="shared" si="6"/>
        <v>0.80251879796247849</v>
      </c>
      <c r="F43">
        <f t="shared" si="6"/>
        <v>0.71892373343192617</v>
      </c>
      <c r="G43">
        <f t="shared" si="6"/>
        <v>0.64403642108314141</v>
      </c>
      <c r="H43">
        <f t="shared" si="6"/>
        <v>0.57694981038048665</v>
      </c>
      <c r="I43">
        <f t="shared" si="6"/>
        <v>0.51685133449169918</v>
      </c>
      <c r="J43">
        <f t="shared" si="6"/>
        <v>0.46301306831122807</v>
      </c>
      <c r="K43">
        <f t="shared" si="6"/>
        <v>0.41478291168158138</v>
      </c>
    </row>
    <row r="44" spans="1:12" x14ac:dyDescent="0.15">
      <c r="B44" t="s">
        <v>54</v>
      </c>
      <c r="C44" s="1">
        <f>C43*SUM(C40:C42)</f>
        <v>-1000000</v>
      </c>
      <c r="D44" s="1">
        <f t="shared" ref="D44:K44" si="7">D43*SUM(D40:D42)</f>
        <v>100207.11054013434</v>
      </c>
      <c r="E44" s="1">
        <f t="shared" si="7"/>
        <v>110294.17099797323</v>
      </c>
      <c r="F44" s="1">
        <f t="shared" si="7"/>
        <v>49794.814548695489</v>
      </c>
      <c r="G44" s="1">
        <f t="shared" si="7"/>
        <v>33646.394746646547</v>
      </c>
      <c r="H44" s="1">
        <f t="shared" si="7"/>
        <v>20308.633325393123</v>
      </c>
      <c r="I44" s="1">
        <f t="shared" si="7"/>
        <v>18193.166974107804</v>
      </c>
      <c r="J44" s="1">
        <f t="shared" si="7"/>
        <v>16298.060004555222</v>
      </c>
      <c r="K44" s="1">
        <f t="shared" si="7"/>
        <v>14600.358491191659</v>
      </c>
      <c r="L44" s="1"/>
    </row>
    <row r="46" spans="1:12" x14ac:dyDescent="0.15">
      <c r="B46" t="s">
        <v>103</v>
      </c>
      <c r="C46" s="1">
        <f>SUM(C44:K44)</f>
        <v>-636657.29037130263</v>
      </c>
    </row>
    <row r="51" spans="1:12" x14ac:dyDescent="0.15">
      <c r="A51" t="s">
        <v>105</v>
      </c>
      <c r="C51">
        <v>0.7</v>
      </c>
      <c r="D51" s="1">
        <f>C51*C22</f>
        <v>949462.60768363823</v>
      </c>
    </row>
    <row r="52" spans="1:12" x14ac:dyDescent="0.15">
      <c r="A52" t="s">
        <v>106</v>
      </c>
      <c r="C52">
        <f>1-C51</f>
        <v>0.30000000000000004</v>
      </c>
      <c r="D52" s="1">
        <f>C52*C46</f>
        <v>-190997.18711139081</v>
      </c>
    </row>
    <row r="53" spans="1:12" x14ac:dyDescent="0.15">
      <c r="A53" t="s">
        <v>18</v>
      </c>
      <c r="D53" s="8">
        <f>D51+D52</f>
        <v>758465.42057224736</v>
      </c>
    </row>
    <row r="55" spans="1:12" x14ac:dyDescent="0.15">
      <c r="A55" t="s">
        <v>17</v>
      </c>
    </row>
    <row r="57" spans="1:12" x14ac:dyDescent="0.15">
      <c r="A57" t="s">
        <v>65</v>
      </c>
    </row>
    <row r="58" spans="1:12" x14ac:dyDescent="0.15">
      <c r="A58" t="s">
        <v>66</v>
      </c>
      <c r="D58">
        <v>0</v>
      </c>
    </row>
    <row r="59" spans="1:12" x14ac:dyDescent="0.15">
      <c r="A59" s="9" t="s">
        <v>110</v>
      </c>
    </row>
    <row r="61" spans="1:12" x14ac:dyDescent="0.15">
      <c r="A61" t="s">
        <v>98</v>
      </c>
    </row>
    <row r="62" spans="1:12" x14ac:dyDescent="0.15">
      <c r="B62" t="s">
        <v>96</v>
      </c>
      <c r="C62">
        <v>0</v>
      </c>
      <c r="D62">
        <v>1</v>
      </c>
      <c r="E62">
        <v>2</v>
      </c>
      <c r="F62">
        <v>3</v>
      </c>
      <c r="G62">
        <v>4</v>
      </c>
      <c r="H62">
        <v>5</v>
      </c>
      <c r="I62">
        <v>6</v>
      </c>
      <c r="J62">
        <v>7</v>
      </c>
      <c r="K62">
        <v>8</v>
      </c>
      <c r="L62">
        <v>9</v>
      </c>
    </row>
    <row r="63" spans="1:12" x14ac:dyDescent="0.15">
      <c r="B63" t="s">
        <v>99</v>
      </c>
      <c r="D63" s="1">
        <f>C40</f>
        <v>-1000000</v>
      </c>
    </row>
    <row r="64" spans="1:12" x14ac:dyDescent="0.15">
      <c r="B64" t="s">
        <v>100</v>
      </c>
      <c r="E64" s="1">
        <f>D17</f>
        <v>431200</v>
      </c>
      <c r="F64" s="1">
        <f t="shared" ref="F64:H64" si="8">E17</f>
        <v>431200</v>
      </c>
      <c r="G64" s="1">
        <f t="shared" si="8"/>
        <v>431200</v>
      </c>
      <c r="H64" s="1">
        <f t="shared" si="8"/>
        <v>431200</v>
      </c>
      <c r="I64" s="1">
        <f t="shared" ref="I64:J64" si="9">H17</f>
        <v>431200</v>
      </c>
      <c r="J64" s="1">
        <f t="shared" si="9"/>
        <v>431200</v>
      </c>
      <c r="K64" s="1">
        <f t="shared" ref="K64" si="10">J17</f>
        <v>431200</v>
      </c>
      <c r="L64" s="1">
        <f t="shared" ref="L64" si="11">K17</f>
        <v>431200</v>
      </c>
    </row>
    <row r="65" spans="1:12" x14ac:dyDescent="0.15">
      <c r="B65" t="s">
        <v>101</v>
      </c>
      <c r="E65" s="1">
        <f>D18</f>
        <v>76659</v>
      </c>
      <c r="F65" s="1">
        <f t="shared" ref="F65:H65" si="12">E18</f>
        <v>102235</v>
      </c>
      <c r="G65" s="1">
        <f t="shared" si="12"/>
        <v>34063</v>
      </c>
      <c r="H65" s="1">
        <f t="shared" si="12"/>
        <v>17043</v>
      </c>
    </row>
    <row r="66" spans="1:12" x14ac:dyDescent="0.15">
      <c r="B66" t="s">
        <v>102</v>
      </c>
      <c r="C66">
        <f>C43</f>
        <v>1</v>
      </c>
      <c r="D66">
        <f t="shared" ref="D66:J66" si="13">D43</f>
        <v>0.89583413529652822</v>
      </c>
      <c r="E66">
        <f t="shared" si="13"/>
        <v>0.80251879796247849</v>
      </c>
      <c r="F66">
        <f t="shared" si="13"/>
        <v>0.71892373343192617</v>
      </c>
      <c r="G66">
        <f t="shared" si="13"/>
        <v>0.64403642108314141</v>
      </c>
      <c r="H66">
        <f t="shared" si="13"/>
        <v>0.57694981038048665</v>
      </c>
      <c r="I66">
        <f t="shared" si="13"/>
        <v>0.51685133449169918</v>
      </c>
      <c r="J66">
        <f t="shared" si="13"/>
        <v>0.46301306831122807</v>
      </c>
      <c r="K66">
        <f t="shared" ref="K66:L66" si="14">K43</f>
        <v>0.41478291168158138</v>
      </c>
      <c r="L66">
        <f>EXP(-J1*L62)</f>
        <v>0.37157669102204571</v>
      </c>
    </row>
    <row r="67" spans="1:12" x14ac:dyDescent="0.15">
      <c r="B67" t="s">
        <v>54</v>
      </c>
      <c r="D67" s="1">
        <f>D66*SUM(D63:D65)</f>
        <v>-895834.13529652823</v>
      </c>
      <c r="E67" s="1">
        <f t="shared" ref="E67:J67" si="15">E66*SUM(E63:E65)</f>
        <v>407566.39421442634</v>
      </c>
      <c r="F67" s="1">
        <f t="shared" si="15"/>
        <v>383499.08174325956</v>
      </c>
      <c r="G67" s="1">
        <f t="shared" si="15"/>
        <v>299646.31738240563</v>
      </c>
      <c r="H67" s="1">
        <f t="shared" si="15"/>
        <v>258613.71385438048</v>
      </c>
      <c r="I67" s="1">
        <f t="shared" si="15"/>
        <v>222866.29543282068</v>
      </c>
      <c r="J67" s="1">
        <f t="shared" si="15"/>
        <v>199651.23505580155</v>
      </c>
      <c r="K67" s="1">
        <f t="shared" ref="K67:L67" si="16">K66*SUM(K63:K65)</f>
        <v>178854.39151709789</v>
      </c>
      <c r="L67" s="1">
        <f t="shared" si="16"/>
        <v>160223.86916870612</v>
      </c>
    </row>
    <row r="69" spans="1:12" x14ac:dyDescent="0.15">
      <c r="B69" t="s">
        <v>103</v>
      </c>
      <c r="C69" s="5">
        <f>SUM(D67:L67)</f>
        <v>1215087.16307237</v>
      </c>
      <c r="E69" s="9" t="s">
        <v>111</v>
      </c>
      <c r="G69" s="10">
        <f>C22*EXP(-J1)</f>
        <v>1215087.16307237</v>
      </c>
    </row>
    <row r="71" spans="1:12" x14ac:dyDescent="0.15">
      <c r="A71" t="s">
        <v>67</v>
      </c>
      <c r="E71" s="5">
        <f>C51*C69+C52*D58</f>
        <v>850561.01415065897</v>
      </c>
    </row>
    <row r="73" spans="1:12" x14ac:dyDescent="0.15">
      <c r="A73" t="s">
        <v>68</v>
      </c>
      <c r="E73" s="5">
        <f>E71-D53</f>
        <v>92095.593578411615</v>
      </c>
    </row>
    <row r="75" spans="1:12" x14ac:dyDescent="0.15">
      <c r="A75" t="s">
        <v>0</v>
      </c>
    </row>
    <row r="76" spans="1:12" x14ac:dyDescent="0.15">
      <c r="A76" t="s">
        <v>1</v>
      </c>
    </row>
  </sheetData>
  <phoneticPr fontId="4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published="0"/>
  <dimension ref="A1:Q64"/>
  <sheetViews>
    <sheetView topLeftCell="A27" workbookViewId="0">
      <selection activeCell="B57" sqref="B57"/>
    </sheetView>
  </sheetViews>
  <sheetFormatPr baseColWidth="10" defaultRowHeight="13" x14ac:dyDescent="0.15"/>
  <sheetData>
    <row r="1" spans="1:17" x14ac:dyDescent="0.15">
      <c r="A1" t="s">
        <v>69</v>
      </c>
      <c r="C1">
        <v>3100</v>
      </c>
      <c r="E1" t="s">
        <v>70</v>
      </c>
      <c r="F1">
        <v>0.23</v>
      </c>
      <c r="G1" t="s">
        <v>75</v>
      </c>
      <c r="H1">
        <v>0.11</v>
      </c>
      <c r="I1" t="s">
        <v>71</v>
      </c>
    </row>
    <row r="2" spans="1:17" x14ac:dyDescent="0.15">
      <c r="I2" t="s">
        <v>96</v>
      </c>
      <c r="J2">
        <v>1</v>
      </c>
      <c r="K2">
        <v>2</v>
      </c>
      <c r="L2">
        <v>3</v>
      </c>
      <c r="M2">
        <v>4</v>
      </c>
      <c r="N2">
        <v>5</v>
      </c>
      <c r="O2">
        <v>6</v>
      </c>
      <c r="P2">
        <v>7</v>
      </c>
      <c r="Q2">
        <v>8</v>
      </c>
    </row>
    <row r="3" spans="1:17" x14ac:dyDescent="0.15">
      <c r="A3" t="s">
        <v>72</v>
      </c>
      <c r="C3">
        <v>4300</v>
      </c>
      <c r="I3" t="s">
        <v>97</v>
      </c>
      <c r="J3">
        <v>14.29</v>
      </c>
      <c r="K3">
        <v>24.29</v>
      </c>
      <c r="L3">
        <v>17.489999999999998</v>
      </c>
      <c r="M3">
        <v>12.49</v>
      </c>
      <c r="N3">
        <v>8.93</v>
      </c>
      <c r="O3">
        <v>8.92</v>
      </c>
      <c r="P3">
        <v>8.93</v>
      </c>
      <c r="Q3">
        <v>4.46</v>
      </c>
    </row>
    <row r="5" spans="1:17" x14ac:dyDescent="0.15">
      <c r="A5" t="s">
        <v>73</v>
      </c>
      <c r="C5">
        <v>800</v>
      </c>
    </row>
    <row r="7" spans="1:17" x14ac:dyDescent="0.15">
      <c r="A7" t="s">
        <v>74</v>
      </c>
      <c r="C7" s="1">
        <f>C5*(C3-C1)</f>
        <v>960000</v>
      </c>
    </row>
    <row r="8" spans="1:17" x14ac:dyDescent="0.15">
      <c r="A8" t="s">
        <v>80</v>
      </c>
      <c r="C8" s="1">
        <f>C7*(1-F1)</f>
        <v>739200</v>
      </c>
    </row>
    <row r="10" spans="1:17" x14ac:dyDescent="0.15">
      <c r="C10" t="s">
        <v>76</v>
      </c>
      <c r="D10">
        <v>0</v>
      </c>
      <c r="E10">
        <v>1</v>
      </c>
      <c r="F10">
        <v>2</v>
      </c>
      <c r="G10">
        <v>3</v>
      </c>
      <c r="H10">
        <v>4</v>
      </c>
      <c r="I10">
        <v>5</v>
      </c>
      <c r="J10">
        <v>6</v>
      </c>
      <c r="K10">
        <v>7</v>
      </c>
      <c r="L10">
        <v>8</v>
      </c>
    </row>
    <row r="11" spans="1:17" x14ac:dyDescent="0.15">
      <c r="C11" t="s">
        <v>77</v>
      </c>
      <c r="D11" s="1">
        <v>-200000</v>
      </c>
      <c r="L11" s="1">
        <f>-D11</f>
        <v>200000</v>
      </c>
    </row>
    <row r="12" spans="1:17" x14ac:dyDescent="0.15">
      <c r="C12" t="s">
        <v>78</v>
      </c>
      <c r="D12" s="1">
        <v>-3500000</v>
      </c>
      <c r="L12" s="1"/>
    </row>
    <row r="13" spans="1:17" x14ac:dyDescent="0.15">
      <c r="C13" t="s">
        <v>81</v>
      </c>
      <c r="D13" s="1">
        <v>-100000</v>
      </c>
      <c r="L13" s="1">
        <f>-D13</f>
        <v>100000</v>
      </c>
    </row>
    <row r="14" spans="1:17" x14ac:dyDescent="0.15">
      <c r="C14" t="s">
        <v>79</v>
      </c>
      <c r="E14" s="1">
        <f>$C$8</f>
        <v>739200</v>
      </c>
      <c r="F14" s="1">
        <f t="shared" ref="F14:L14" si="0">$C$8</f>
        <v>739200</v>
      </c>
      <c r="G14" s="1">
        <f t="shared" si="0"/>
        <v>739200</v>
      </c>
      <c r="H14" s="1">
        <f t="shared" si="0"/>
        <v>739200</v>
      </c>
      <c r="I14" s="1">
        <f t="shared" si="0"/>
        <v>739200</v>
      </c>
      <c r="J14" s="1">
        <f t="shared" si="0"/>
        <v>739200</v>
      </c>
      <c r="K14" s="1">
        <f t="shared" si="0"/>
        <v>739200</v>
      </c>
      <c r="L14" s="1">
        <f t="shared" si="0"/>
        <v>739200</v>
      </c>
    </row>
    <row r="15" spans="1:17" x14ac:dyDescent="0.15">
      <c r="C15" t="s">
        <v>82</v>
      </c>
      <c r="E15" s="1">
        <f>-J3/100*$D$12*$F$1</f>
        <v>115034.5</v>
      </c>
      <c r="F15" s="1">
        <f t="shared" ref="F15:L15" si="1">-K3/100*$D$12*$F$1</f>
        <v>195534.5</v>
      </c>
      <c r="G15" s="1">
        <f t="shared" si="1"/>
        <v>140794.49999999997</v>
      </c>
      <c r="H15" s="1">
        <f t="shared" si="1"/>
        <v>100544.5</v>
      </c>
      <c r="I15" s="1">
        <f t="shared" si="1"/>
        <v>71886.499999999985</v>
      </c>
      <c r="J15" s="1">
        <f t="shared" si="1"/>
        <v>71806</v>
      </c>
      <c r="K15" s="1">
        <f t="shared" si="1"/>
        <v>71886.499999999985</v>
      </c>
      <c r="L15" s="1">
        <f t="shared" si="1"/>
        <v>35903</v>
      </c>
      <c r="M15" s="1"/>
    </row>
    <row r="16" spans="1:17" x14ac:dyDescent="0.15">
      <c r="C16" t="s">
        <v>83</v>
      </c>
      <c r="D16">
        <f>1/(1+$H$1)^D10</f>
        <v>1</v>
      </c>
      <c r="E16">
        <f t="shared" ref="E16:L16" si="2">1/(1+$H$1)^E10</f>
        <v>0.9009009009009008</v>
      </c>
      <c r="F16">
        <f t="shared" si="2"/>
        <v>0.8116224332440547</v>
      </c>
      <c r="G16">
        <f t="shared" si="2"/>
        <v>0.73119138130095018</v>
      </c>
      <c r="H16">
        <f t="shared" si="2"/>
        <v>0.65873097414500015</v>
      </c>
      <c r="I16">
        <f t="shared" si="2"/>
        <v>0.5934513280585586</v>
      </c>
      <c r="J16">
        <f t="shared" si="2"/>
        <v>0.53464083608879154</v>
      </c>
      <c r="K16">
        <f t="shared" si="2"/>
        <v>0.48165841089080319</v>
      </c>
      <c r="L16">
        <f t="shared" si="2"/>
        <v>0.43392649629802077</v>
      </c>
    </row>
    <row r="17" spans="1:12" x14ac:dyDescent="0.15">
      <c r="C17" t="s">
        <v>54</v>
      </c>
      <c r="D17" s="1">
        <f>D16*SUM(D11:D15)</f>
        <v>-3800000</v>
      </c>
      <c r="E17" s="1">
        <f t="shared" ref="E17:L17" si="3">E16*SUM(E11:E15)</f>
        <v>769580.63063063053</v>
      </c>
      <c r="F17" s="1">
        <f t="shared" si="3"/>
        <v>758651.48932716483</v>
      </c>
      <c r="G17" s="1">
        <f t="shared" si="3"/>
        <v>643444.39399223903</v>
      </c>
      <c r="H17" s="1">
        <f t="shared" si="3"/>
        <v>553165.7125179061</v>
      </c>
      <c r="I17" s="1">
        <f t="shared" si="3"/>
        <v>481340.36059536808</v>
      </c>
      <c r="J17" s="1">
        <f t="shared" si="3"/>
        <v>433596.9259130265</v>
      </c>
      <c r="K17" s="1">
        <f t="shared" si="3"/>
        <v>390666.63468498347</v>
      </c>
      <c r="L17" s="1">
        <f t="shared" si="3"/>
        <v>466515.67794949102</v>
      </c>
    </row>
    <row r="19" spans="1:12" x14ac:dyDescent="0.15">
      <c r="C19" t="s">
        <v>103</v>
      </c>
      <c r="D19" s="5">
        <f>SUM(D17:L17)</f>
        <v>696961.82561080949</v>
      </c>
      <c r="E19" t="s">
        <v>64</v>
      </c>
    </row>
    <row r="26" spans="1:12" x14ac:dyDescent="0.15">
      <c r="A26" t="s">
        <v>84</v>
      </c>
    </row>
    <row r="28" spans="1:12" x14ac:dyDescent="0.15">
      <c r="A28" t="s">
        <v>85</v>
      </c>
      <c r="C28">
        <v>2850</v>
      </c>
    </row>
    <row r="29" spans="1:12" x14ac:dyDescent="0.15">
      <c r="A29" t="s">
        <v>86</v>
      </c>
      <c r="C29">
        <f>(C3-C28)*C5</f>
        <v>1160000</v>
      </c>
    </row>
    <row r="30" spans="1:12" x14ac:dyDescent="0.15">
      <c r="A30" t="s">
        <v>80</v>
      </c>
      <c r="C30">
        <f>(1-F1)*C29</f>
        <v>893200</v>
      </c>
    </row>
    <row r="32" spans="1:12" x14ac:dyDescent="0.15">
      <c r="C32" t="s">
        <v>76</v>
      </c>
      <c r="D32">
        <v>0</v>
      </c>
      <c r="E32">
        <v>1</v>
      </c>
      <c r="F32">
        <v>2</v>
      </c>
      <c r="G32">
        <v>3</v>
      </c>
      <c r="H32">
        <v>4</v>
      </c>
      <c r="I32">
        <v>5</v>
      </c>
      <c r="J32">
        <v>6</v>
      </c>
      <c r="K32">
        <v>7</v>
      </c>
      <c r="L32">
        <v>8</v>
      </c>
    </row>
    <row r="33" spans="1:13" x14ac:dyDescent="0.15">
      <c r="C33" t="s">
        <v>77</v>
      </c>
      <c r="D33" s="1">
        <v>-200000</v>
      </c>
      <c r="L33" s="1">
        <f>-D33</f>
        <v>200000</v>
      </c>
    </row>
    <row r="34" spans="1:13" x14ac:dyDescent="0.15">
      <c r="C34" t="s">
        <v>78</v>
      </c>
      <c r="D34" s="1">
        <v>-3750000</v>
      </c>
      <c r="L34" s="1"/>
    </row>
    <row r="35" spans="1:13" x14ac:dyDescent="0.15">
      <c r="C35" t="s">
        <v>81</v>
      </c>
      <c r="D35" s="1">
        <v>-100000</v>
      </c>
      <c r="L35" s="1">
        <f>-D35</f>
        <v>100000</v>
      </c>
    </row>
    <row r="36" spans="1:13" x14ac:dyDescent="0.15">
      <c r="C36" t="s">
        <v>79</v>
      </c>
      <c r="E36" s="1">
        <f>$C$8</f>
        <v>739200</v>
      </c>
      <c r="F36" s="1">
        <f t="shared" ref="F36" si="4">$C$8</f>
        <v>739200</v>
      </c>
      <c r="G36" s="1">
        <f>$C$30</f>
        <v>893200</v>
      </c>
      <c r="H36" s="1">
        <f t="shared" ref="H36:L36" si="5">$C$30</f>
        <v>893200</v>
      </c>
      <c r="I36" s="1">
        <f t="shared" si="5"/>
        <v>893200</v>
      </c>
      <c r="J36" s="1">
        <f t="shared" si="5"/>
        <v>893200</v>
      </c>
      <c r="K36" s="1">
        <f t="shared" si="5"/>
        <v>893200</v>
      </c>
      <c r="L36" s="1">
        <f t="shared" si="5"/>
        <v>893200</v>
      </c>
      <c r="M36" s="6" t="s">
        <v>5</v>
      </c>
    </row>
    <row r="37" spans="1:13" x14ac:dyDescent="0.15">
      <c r="C37" t="s">
        <v>82</v>
      </c>
      <c r="E37" s="1">
        <f>-J3/100*$F$1*$D$34</f>
        <v>123251.25</v>
      </c>
      <c r="F37" s="1">
        <f t="shared" ref="F37:L37" si="6">-K3/100*$F$1*$D$34</f>
        <v>209501.25000000003</v>
      </c>
      <c r="G37" s="1">
        <f t="shared" si="6"/>
        <v>150851.24999999997</v>
      </c>
      <c r="H37" s="1">
        <f t="shared" si="6"/>
        <v>107726.25</v>
      </c>
      <c r="I37" s="1">
        <f t="shared" si="6"/>
        <v>77021.25</v>
      </c>
      <c r="J37" s="1">
        <f t="shared" si="6"/>
        <v>76935</v>
      </c>
      <c r="K37" s="1">
        <f t="shared" si="6"/>
        <v>77021.25</v>
      </c>
      <c r="L37" s="1">
        <f t="shared" si="6"/>
        <v>38467.5</v>
      </c>
      <c r="M37" t="s">
        <v>4</v>
      </c>
    </row>
    <row r="38" spans="1:13" x14ac:dyDescent="0.15">
      <c r="C38" t="s">
        <v>83</v>
      </c>
      <c r="D38">
        <f>1/(1+$H$1)^D32</f>
        <v>1</v>
      </c>
      <c r="E38">
        <f t="shared" ref="E38:L38" si="7">1/(1+$H$1)^E32</f>
        <v>0.9009009009009008</v>
      </c>
      <c r="F38">
        <f t="shared" si="7"/>
        <v>0.8116224332440547</v>
      </c>
      <c r="G38">
        <f t="shared" si="7"/>
        <v>0.73119138130095018</v>
      </c>
      <c r="H38">
        <f t="shared" si="7"/>
        <v>0.65873097414500015</v>
      </c>
      <c r="I38">
        <f t="shared" si="7"/>
        <v>0.5934513280585586</v>
      </c>
      <c r="J38">
        <f t="shared" si="7"/>
        <v>0.53464083608879154</v>
      </c>
      <c r="K38">
        <f t="shared" si="7"/>
        <v>0.48165841089080319</v>
      </c>
      <c r="L38">
        <f t="shared" si="7"/>
        <v>0.43392649629802077</v>
      </c>
    </row>
    <row r="39" spans="1:13" x14ac:dyDescent="0.15">
      <c r="C39" t="s">
        <v>54</v>
      </c>
      <c r="D39" s="1">
        <f>D38*SUM(D33:D37)</f>
        <v>-4050000</v>
      </c>
      <c r="E39" s="1">
        <f t="shared" ref="E39" si="8">E38*SUM(E33:E37)</f>
        <v>776983.10810810805</v>
      </c>
      <c r="F39" s="1">
        <f t="shared" ref="F39" si="9">F38*SUM(F33:F37)</f>
        <v>769987.21694667626</v>
      </c>
      <c r="G39" s="1">
        <f t="shared" ref="G39" si="10">G38*SUM(G33:G37)</f>
        <v>763401.27563648368</v>
      </c>
      <c r="H39" s="1">
        <f t="shared" ref="H39" si="11">H38*SUM(H33:H37)</f>
        <v>659341.12370980193</v>
      </c>
      <c r="I39" s="1">
        <f t="shared" ref="I39" si="12">I38*SUM(I33:I37)</f>
        <v>575779.08932313474</v>
      </c>
      <c r="J39" s="1">
        <f t="shared" ref="J39" si="13">J38*SUM(J33:J37)</f>
        <v>518673.78751899977</v>
      </c>
      <c r="K39" s="1">
        <f t="shared" ref="K39" si="14">K38*SUM(K33:K37)</f>
        <v>467315.22548748867</v>
      </c>
      <c r="L39" s="1">
        <f t="shared" ref="L39" si="15">L38*SUM(L33:L37)</f>
        <v>534453.16287914244</v>
      </c>
    </row>
    <row r="41" spans="1:13" x14ac:dyDescent="0.15">
      <c r="C41" t="s">
        <v>103</v>
      </c>
      <c r="D41" s="1">
        <f>SUM(D39:L39)</f>
        <v>1015933.9896098354</v>
      </c>
    </row>
    <row r="43" spans="1:13" x14ac:dyDescent="0.15">
      <c r="A43" t="s">
        <v>61</v>
      </c>
      <c r="L43" s="1">
        <f>L33</f>
        <v>200000</v>
      </c>
    </row>
    <row r="44" spans="1:13" x14ac:dyDescent="0.15">
      <c r="L44" s="1">
        <f>L35</f>
        <v>100000</v>
      </c>
    </row>
    <row r="45" spans="1:13" x14ac:dyDescent="0.15">
      <c r="C45" t="s">
        <v>79</v>
      </c>
      <c r="E45" s="1">
        <f>$C$8</f>
        <v>739200</v>
      </c>
      <c r="F45" s="1">
        <f t="shared" ref="F45:L45" si="16">$C$8</f>
        <v>739200</v>
      </c>
      <c r="G45" s="1">
        <f t="shared" si="16"/>
        <v>739200</v>
      </c>
      <c r="H45" s="1">
        <f t="shared" si="16"/>
        <v>739200</v>
      </c>
      <c r="I45" s="1">
        <f t="shared" si="16"/>
        <v>739200</v>
      </c>
      <c r="J45" s="1">
        <f t="shared" si="16"/>
        <v>739200</v>
      </c>
      <c r="K45" s="1">
        <f t="shared" si="16"/>
        <v>739200</v>
      </c>
      <c r="L45" s="1">
        <f t="shared" si="16"/>
        <v>739200</v>
      </c>
    </row>
    <row r="46" spans="1:13" x14ac:dyDescent="0.15">
      <c r="C46" t="s">
        <v>82</v>
      </c>
      <c r="E46" s="1">
        <f>E37</f>
        <v>123251.25</v>
      </c>
      <c r="F46" s="1">
        <f t="shared" ref="F46:L46" si="17">F37</f>
        <v>209501.25000000003</v>
      </c>
      <c r="G46" s="1">
        <f t="shared" si="17"/>
        <v>150851.24999999997</v>
      </c>
      <c r="H46" s="1">
        <f t="shared" si="17"/>
        <v>107726.25</v>
      </c>
      <c r="I46" s="1">
        <f t="shared" si="17"/>
        <v>77021.25</v>
      </c>
      <c r="J46" s="1">
        <f t="shared" si="17"/>
        <v>76935</v>
      </c>
      <c r="K46" s="1">
        <f t="shared" si="17"/>
        <v>77021.25</v>
      </c>
      <c r="L46" s="1">
        <f t="shared" si="17"/>
        <v>38467.5</v>
      </c>
    </row>
    <row r="47" spans="1:13" x14ac:dyDescent="0.15">
      <c r="C47" t="s">
        <v>83</v>
      </c>
      <c r="D47">
        <f>D38</f>
        <v>1</v>
      </c>
      <c r="E47">
        <f>E38</f>
        <v>0.9009009009009008</v>
      </c>
      <c r="F47">
        <f t="shared" ref="F47:L47" si="18">F38</f>
        <v>0.8116224332440547</v>
      </c>
      <c r="G47">
        <f t="shared" si="18"/>
        <v>0.73119138130095018</v>
      </c>
      <c r="H47">
        <f t="shared" si="18"/>
        <v>0.65873097414500015</v>
      </c>
      <c r="I47">
        <f t="shared" si="18"/>
        <v>0.5934513280585586</v>
      </c>
      <c r="J47">
        <f t="shared" si="18"/>
        <v>0.53464083608879154</v>
      </c>
      <c r="K47">
        <f t="shared" si="18"/>
        <v>0.48165841089080319</v>
      </c>
      <c r="L47">
        <f t="shared" si="18"/>
        <v>0.43392649629802077</v>
      </c>
    </row>
    <row r="48" spans="1:13" x14ac:dyDescent="0.15">
      <c r="C48" t="s">
        <v>54</v>
      </c>
      <c r="D48" s="1">
        <f>D39</f>
        <v>-4050000</v>
      </c>
      <c r="E48" s="1">
        <f t="shared" ref="E48:J48" si="19">E47*SUM(E43:E46)</f>
        <v>776983.10810810805</v>
      </c>
      <c r="F48" s="1">
        <f t="shared" si="19"/>
        <v>769987.21694667626</v>
      </c>
      <c r="G48" s="1">
        <f t="shared" si="19"/>
        <v>650797.80291613739</v>
      </c>
      <c r="H48" s="1">
        <f t="shared" si="19"/>
        <v>557896.55369147193</v>
      </c>
      <c r="I48" s="1">
        <f t="shared" si="19"/>
        <v>484387.58480211679</v>
      </c>
      <c r="J48" s="1">
        <f t="shared" si="19"/>
        <v>436339.09876132588</v>
      </c>
      <c r="K48" s="1">
        <f>K47*SUM(K43:K46)</f>
        <v>393139.83021030499</v>
      </c>
      <c r="L48" s="1">
        <f>L47*SUM(L43:L46)</f>
        <v>467628.48244924727</v>
      </c>
    </row>
    <row r="50" spans="1:6" x14ac:dyDescent="0.15">
      <c r="C50" t="s">
        <v>103</v>
      </c>
      <c r="D50" s="1">
        <f>SUM(D48:L48)</f>
        <v>487159.67788538861</v>
      </c>
    </row>
    <row r="55" spans="1:6" x14ac:dyDescent="0.15">
      <c r="C55" s="4" t="s">
        <v>62</v>
      </c>
    </row>
    <row r="56" spans="1:6" x14ac:dyDescent="0.15">
      <c r="A56" t="s">
        <v>87</v>
      </c>
      <c r="B56">
        <v>0.75</v>
      </c>
      <c r="C56" s="1">
        <f>B56*D41</f>
        <v>761950.49220737652</v>
      </c>
    </row>
    <row r="57" spans="1:6" x14ac:dyDescent="0.15">
      <c r="B57">
        <f>1-B56</f>
        <v>0.25</v>
      </c>
      <c r="C57" s="1">
        <f>B57*D50</f>
        <v>121789.91947134715</v>
      </c>
    </row>
    <row r="58" spans="1:6" x14ac:dyDescent="0.15">
      <c r="C58" s="5">
        <f>SUM(C56:C57)</f>
        <v>883740.41167872364</v>
      </c>
      <c r="D58" t="s">
        <v>63</v>
      </c>
    </row>
    <row r="61" spans="1:6" x14ac:dyDescent="0.15">
      <c r="A61" t="s">
        <v>88</v>
      </c>
      <c r="E61" s="5">
        <f>C58-D19</f>
        <v>186778.58606791415</v>
      </c>
    </row>
    <row r="63" spans="1:6" x14ac:dyDescent="0.15">
      <c r="A63" t="s">
        <v>2</v>
      </c>
    </row>
    <row r="64" spans="1:6" x14ac:dyDescent="0.15">
      <c r="A64" t="s">
        <v>3</v>
      </c>
      <c r="F64" t="s">
        <v>6</v>
      </c>
    </row>
  </sheetData>
  <phoneticPr fontId="4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AMAT</vt:lpstr>
      <vt:lpstr>Hazmat 1</vt:lpstr>
      <vt:lpstr>Hazmat 2</vt:lpstr>
    </vt:vector>
  </TitlesOfParts>
  <Company>University of Arizona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Microsoft Office User</cp:lastModifiedBy>
  <dcterms:created xsi:type="dcterms:W3CDTF">2018-02-23T21:07:29Z</dcterms:created>
  <dcterms:modified xsi:type="dcterms:W3CDTF">2025-02-18T21:43:59Z</dcterms:modified>
</cp:coreProperties>
</file>