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autoCompressPictures="0"/>
  <bookViews>
    <workbookView xWindow="0" yWindow="0" windowWidth="22380" windowHeight="9555" activeTab="4"/>
  </bookViews>
  <sheets>
    <sheet name="Data" sheetId="1" r:id="rId1"/>
    <sheet name="Keys" sheetId="2" r:id="rId2"/>
    <sheet name="Std Dev" sheetId="3" r:id="rId3"/>
    <sheet name="PS2" sheetId="4" r:id="rId4"/>
    <sheet name="PS3" sheetId="5" r:id="rId5"/>
  </sheets>
  <calcPr calcId="14562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Z12" i="5" l="1"/>
  <c r="Z10" i="5"/>
  <c r="Z8" i="5"/>
  <c r="Y12" i="5"/>
  <c r="Y10" i="5"/>
  <c r="Y8" i="5"/>
  <c r="E106" i="4"/>
  <c r="D100" i="4"/>
  <c r="D95" i="4"/>
  <c r="D91" i="4"/>
  <c r="C91" i="4"/>
  <c r="E86" i="4"/>
  <c r="AR11" i="2"/>
  <c r="F11" i="2"/>
  <c r="AR12" i="2"/>
  <c r="F12" i="2"/>
  <c r="AR13" i="2"/>
  <c r="F13" i="2"/>
  <c r="AR14" i="2"/>
  <c r="F14" i="2"/>
  <c r="AR15" i="2"/>
  <c r="F15" i="2"/>
  <c r="AR16" i="2"/>
  <c r="F16" i="2"/>
  <c r="AR17" i="2"/>
  <c r="F17" i="2"/>
  <c r="AR18" i="2"/>
  <c r="F18" i="2"/>
  <c r="AR19" i="2"/>
  <c r="F19" i="2"/>
  <c r="AR20" i="2"/>
  <c r="F20" i="2"/>
  <c r="AR21" i="2"/>
  <c r="F21" i="2"/>
  <c r="AR22" i="2"/>
  <c r="F22" i="2"/>
  <c r="AR23" i="2"/>
  <c r="F23" i="2"/>
  <c r="AR24" i="2"/>
  <c r="F24" i="2"/>
  <c r="AR25" i="2"/>
  <c r="F25" i="2"/>
  <c r="AR26" i="2"/>
  <c r="F26" i="2"/>
  <c r="AR27" i="2"/>
  <c r="F27" i="2"/>
  <c r="AR28" i="2"/>
  <c r="F28" i="2"/>
  <c r="AR29" i="2"/>
  <c r="F29" i="2"/>
  <c r="AR30" i="2"/>
  <c r="F30" i="2"/>
  <c r="AR31" i="2"/>
  <c r="F31" i="2"/>
  <c r="AR32" i="2"/>
  <c r="F32" i="2"/>
  <c r="AR33" i="2"/>
  <c r="F33" i="2"/>
  <c r="AR34" i="2"/>
  <c r="F34" i="2"/>
  <c r="AR35" i="2"/>
  <c r="F35" i="2"/>
  <c r="AR36" i="2"/>
  <c r="F36" i="2"/>
  <c r="AR37" i="2"/>
  <c r="F37" i="2"/>
  <c r="AR38" i="2"/>
  <c r="F38" i="2"/>
  <c r="AR39" i="2"/>
  <c r="F39" i="2"/>
  <c r="AR40" i="2"/>
  <c r="F40" i="2"/>
  <c r="AR41" i="2"/>
  <c r="F41" i="2"/>
  <c r="AR42" i="2"/>
  <c r="F42" i="2"/>
  <c r="AR43" i="2"/>
  <c r="F43" i="2"/>
  <c r="AR44" i="2"/>
  <c r="F44" i="2"/>
  <c r="AR45" i="2"/>
  <c r="F45" i="2"/>
  <c r="AR46" i="2"/>
  <c r="F46" i="2"/>
  <c r="AR47" i="2"/>
  <c r="F47" i="2"/>
  <c r="AR48" i="2"/>
  <c r="F48" i="2"/>
  <c r="AR49" i="2"/>
  <c r="F49" i="2"/>
  <c r="AR50" i="2"/>
  <c r="F50" i="2"/>
  <c r="AR51" i="2"/>
  <c r="F51" i="2"/>
  <c r="AR52" i="2"/>
  <c r="F52" i="2"/>
  <c r="AR53" i="2"/>
  <c r="F53" i="2"/>
  <c r="AR54" i="2"/>
  <c r="F54" i="2"/>
  <c r="AR55" i="2"/>
  <c r="F55" i="2"/>
  <c r="AR56" i="2"/>
  <c r="F56" i="2"/>
  <c r="AR57" i="2"/>
  <c r="F57" i="2"/>
  <c r="AR58" i="2"/>
  <c r="F58" i="2"/>
  <c r="AR59" i="2"/>
  <c r="F59" i="2"/>
  <c r="AR60" i="2"/>
  <c r="F60" i="2"/>
  <c r="AR61" i="2"/>
  <c r="F61" i="2"/>
  <c r="AR62" i="2"/>
  <c r="F62" i="2"/>
  <c r="AR63" i="2"/>
  <c r="F63" i="2"/>
  <c r="AR64" i="2"/>
  <c r="F64" i="2"/>
  <c r="AR65" i="2"/>
  <c r="F65" i="2"/>
  <c r="AR66" i="2"/>
  <c r="F66" i="2"/>
  <c r="AR67" i="2"/>
  <c r="F67" i="2"/>
  <c r="AR68" i="2"/>
  <c r="F68" i="2"/>
  <c r="AR69" i="2"/>
  <c r="F69" i="2"/>
  <c r="AR70" i="2"/>
  <c r="F70" i="2"/>
  <c r="AR71" i="2"/>
  <c r="F71" i="2"/>
  <c r="AR72" i="2"/>
  <c r="F72" i="2"/>
  <c r="AR73" i="2"/>
  <c r="F73" i="2"/>
  <c r="AR74" i="2"/>
  <c r="F74" i="2"/>
  <c r="AR75" i="2"/>
  <c r="F75" i="2"/>
  <c r="AR76" i="2"/>
  <c r="F76" i="2"/>
  <c r="AR77" i="2"/>
  <c r="F77" i="2"/>
  <c r="AR78" i="2"/>
  <c r="F78" i="2"/>
  <c r="AR79" i="2"/>
  <c r="F79" i="2"/>
  <c r="AR80" i="2"/>
  <c r="F80" i="2"/>
  <c r="AR81" i="2"/>
  <c r="F81" i="2"/>
  <c r="AR82" i="2"/>
  <c r="F82" i="2"/>
  <c r="AR83" i="2"/>
  <c r="F83" i="2"/>
  <c r="AR84" i="2"/>
  <c r="F84" i="2"/>
  <c r="AR85" i="2"/>
  <c r="F85" i="2"/>
  <c r="AR86" i="2"/>
  <c r="F86" i="2"/>
  <c r="AR87" i="2"/>
  <c r="F87" i="2"/>
  <c r="AR88" i="2"/>
  <c r="F88" i="2"/>
  <c r="F97" i="2"/>
  <c r="AQ11" i="2"/>
  <c r="D11" i="2"/>
  <c r="AQ12" i="2"/>
  <c r="D12" i="2"/>
  <c r="AQ13" i="2"/>
  <c r="D13" i="2"/>
  <c r="AQ14" i="2"/>
  <c r="D14" i="2"/>
  <c r="AQ15" i="2"/>
  <c r="D15" i="2"/>
  <c r="AQ16" i="2"/>
  <c r="D16" i="2"/>
  <c r="AQ17" i="2"/>
  <c r="D17" i="2"/>
  <c r="AQ18" i="2"/>
  <c r="D18" i="2"/>
  <c r="AQ19" i="2"/>
  <c r="D19" i="2"/>
  <c r="AQ20" i="2"/>
  <c r="D20" i="2"/>
  <c r="AQ21" i="2"/>
  <c r="D21" i="2"/>
  <c r="AQ22" i="2"/>
  <c r="D22" i="2"/>
  <c r="AQ23" i="2"/>
  <c r="D23" i="2"/>
  <c r="AQ24" i="2"/>
  <c r="D24" i="2"/>
  <c r="AQ25" i="2"/>
  <c r="D25" i="2"/>
  <c r="AQ26" i="2"/>
  <c r="D26" i="2"/>
  <c r="AQ27" i="2"/>
  <c r="D27" i="2"/>
  <c r="AQ28" i="2"/>
  <c r="D28" i="2"/>
  <c r="AQ29" i="2"/>
  <c r="D29" i="2"/>
  <c r="AQ30" i="2"/>
  <c r="D30" i="2"/>
  <c r="AQ31" i="2"/>
  <c r="D31" i="2"/>
  <c r="AQ32" i="2"/>
  <c r="D32" i="2"/>
  <c r="AQ33" i="2"/>
  <c r="D33" i="2"/>
  <c r="AQ34" i="2"/>
  <c r="D34" i="2"/>
  <c r="AQ35" i="2"/>
  <c r="D35" i="2"/>
  <c r="AQ36" i="2"/>
  <c r="D36" i="2"/>
  <c r="AQ37" i="2"/>
  <c r="D37" i="2"/>
  <c r="AQ38" i="2"/>
  <c r="D38" i="2"/>
  <c r="AQ39" i="2"/>
  <c r="D39" i="2"/>
  <c r="AQ40" i="2"/>
  <c r="D40" i="2"/>
  <c r="AQ41" i="2"/>
  <c r="D41" i="2"/>
  <c r="AQ42" i="2"/>
  <c r="D42" i="2"/>
  <c r="AQ43" i="2"/>
  <c r="D43" i="2"/>
  <c r="AQ44" i="2"/>
  <c r="D44" i="2"/>
  <c r="AQ45" i="2"/>
  <c r="D45" i="2"/>
  <c r="AQ46" i="2"/>
  <c r="D46" i="2"/>
  <c r="AQ47" i="2"/>
  <c r="D47" i="2"/>
  <c r="AQ48" i="2"/>
  <c r="D48" i="2"/>
  <c r="AQ49" i="2"/>
  <c r="D49" i="2"/>
  <c r="AQ50" i="2"/>
  <c r="D50" i="2"/>
  <c r="AQ51" i="2"/>
  <c r="D51" i="2"/>
  <c r="AQ52" i="2"/>
  <c r="D52" i="2"/>
  <c r="AQ53" i="2"/>
  <c r="D53" i="2"/>
  <c r="AQ54" i="2"/>
  <c r="D54" i="2"/>
  <c r="AQ55" i="2"/>
  <c r="D55" i="2"/>
  <c r="AQ56" i="2"/>
  <c r="D56" i="2"/>
  <c r="AQ57" i="2"/>
  <c r="D57" i="2"/>
  <c r="AQ58" i="2"/>
  <c r="D58" i="2"/>
  <c r="AQ59" i="2"/>
  <c r="D59" i="2"/>
  <c r="AQ60" i="2"/>
  <c r="D60" i="2"/>
  <c r="AQ61" i="2"/>
  <c r="D61" i="2"/>
  <c r="AQ62" i="2"/>
  <c r="D62" i="2"/>
  <c r="AQ63" i="2"/>
  <c r="D63" i="2"/>
  <c r="AQ64" i="2"/>
  <c r="D64" i="2"/>
  <c r="AQ65" i="2"/>
  <c r="D65" i="2"/>
  <c r="AQ66" i="2"/>
  <c r="D66" i="2"/>
  <c r="AQ67" i="2"/>
  <c r="D67" i="2"/>
  <c r="AQ68" i="2"/>
  <c r="D68" i="2"/>
  <c r="AQ69" i="2"/>
  <c r="D69" i="2"/>
  <c r="AQ70" i="2"/>
  <c r="D70" i="2"/>
  <c r="AQ71" i="2"/>
  <c r="D71" i="2"/>
  <c r="AQ72" i="2"/>
  <c r="D72" i="2"/>
  <c r="AQ73" i="2"/>
  <c r="D73" i="2"/>
  <c r="AQ74" i="2"/>
  <c r="D74" i="2"/>
  <c r="AQ75" i="2"/>
  <c r="D75" i="2"/>
  <c r="AQ76" i="2"/>
  <c r="D76" i="2"/>
  <c r="AQ77" i="2"/>
  <c r="D77" i="2"/>
  <c r="AQ78" i="2"/>
  <c r="D78" i="2"/>
  <c r="AQ79" i="2"/>
  <c r="D79" i="2"/>
  <c r="AQ80" i="2"/>
  <c r="D80" i="2"/>
  <c r="AQ81" i="2"/>
  <c r="D81" i="2"/>
  <c r="AQ82" i="2"/>
  <c r="D82" i="2"/>
  <c r="AQ83" i="2"/>
  <c r="D83" i="2"/>
  <c r="AQ84" i="2"/>
  <c r="D84" i="2"/>
  <c r="AQ85" i="2"/>
  <c r="D85" i="2"/>
  <c r="AQ86" i="2"/>
  <c r="D86" i="2"/>
  <c r="AQ87" i="2"/>
  <c r="D87" i="2"/>
  <c r="AQ88" i="2"/>
  <c r="D88" i="2"/>
  <c r="D97" i="2"/>
  <c r="AP11" i="2"/>
  <c r="B11" i="2"/>
  <c r="AP12" i="2"/>
  <c r="B12" i="2"/>
  <c r="AP13" i="2"/>
  <c r="B13" i="2"/>
  <c r="AP14" i="2"/>
  <c r="B14" i="2"/>
  <c r="AP15" i="2"/>
  <c r="B15" i="2"/>
  <c r="AP16" i="2"/>
  <c r="B16" i="2"/>
  <c r="AP17" i="2"/>
  <c r="B17" i="2"/>
  <c r="AP18" i="2"/>
  <c r="B18" i="2"/>
  <c r="AP19" i="2"/>
  <c r="B19" i="2"/>
  <c r="AP20" i="2"/>
  <c r="B20" i="2"/>
  <c r="AP21" i="2"/>
  <c r="B21" i="2"/>
  <c r="AP22" i="2"/>
  <c r="B22" i="2"/>
  <c r="AP23" i="2"/>
  <c r="B23" i="2"/>
  <c r="AP24" i="2"/>
  <c r="B24" i="2"/>
  <c r="AP25" i="2"/>
  <c r="B25" i="2"/>
  <c r="AP26" i="2"/>
  <c r="B26" i="2"/>
  <c r="AP27" i="2"/>
  <c r="B27" i="2"/>
  <c r="AP28" i="2"/>
  <c r="B28" i="2"/>
  <c r="AP29" i="2"/>
  <c r="B29" i="2"/>
  <c r="AP30" i="2"/>
  <c r="B30" i="2"/>
  <c r="AP31" i="2"/>
  <c r="B31" i="2"/>
  <c r="AP32" i="2"/>
  <c r="B32" i="2"/>
  <c r="AP33" i="2"/>
  <c r="B33" i="2"/>
  <c r="AP34" i="2"/>
  <c r="B34" i="2"/>
  <c r="AP35" i="2"/>
  <c r="B35" i="2"/>
  <c r="AP36" i="2"/>
  <c r="B36" i="2"/>
  <c r="AP37" i="2"/>
  <c r="B37" i="2"/>
  <c r="AP38" i="2"/>
  <c r="B38" i="2"/>
  <c r="AP39" i="2"/>
  <c r="B39" i="2"/>
  <c r="AP40" i="2"/>
  <c r="B40" i="2"/>
  <c r="AP41" i="2"/>
  <c r="B41" i="2"/>
  <c r="AP42" i="2"/>
  <c r="B42" i="2"/>
  <c r="AP43" i="2"/>
  <c r="B43" i="2"/>
  <c r="AP44" i="2"/>
  <c r="B44" i="2"/>
  <c r="AP45" i="2"/>
  <c r="B45" i="2"/>
  <c r="AP46" i="2"/>
  <c r="B46" i="2"/>
  <c r="AP47" i="2"/>
  <c r="B47" i="2"/>
  <c r="AP48" i="2"/>
  <c r="B48" i="2"/>
  <c r="AP49" i="2"/>
  <c r="B49" i="2"/>
  <c r="AP50" i="2"/>
  <c r="B50" i="2"/>
  <c r="AP51" i="2"/>
  <c r="B51" i="2"/>
  <c r="AP52" i="2"/>
  <c r="B52" i="2"/>
  <c r="AP53" i="2"/>
  <c r="B53" i="2"/>
  <c r="AP54" i="2"/>
  <c r="B54" i="2"/>
  <c r="AP55" i="2"/>
  <c r="B55" i="2"/>
  <c r="AP56" i="2"/>
  <c r="B56" i="2"/>
  <c r="AP57" i="2"/>
  <c r="B57" i="2"/>
  <c r="AP58" i="2"/>
  <c r="B58" i="2"/>
  <c r="AP59" i="2"/>
  <c r="B59" i="2"/>
  <c r="AP60" i="2"/>
  <c r="B60" i="2"/>
  <c r="AP61" i="2"/>
  <c r="B61" i="2"/>
  <c r="AP62" i="2"/>
  <c r="B62" i="2"/>
  <c r="AP63" i="2"/>
  <c r="B63" i="2"/>
  <c r="AP64" i="2"/>
  <c r="B64" i="2"/>
  <c r="AP65" i="2"/>
  <c r="B65" i="2"/>
  <c r="AP66" i="2"/>
  <c r="B66" i="2"/>
  <c r="AP67" i="2"/>
  <c r="B67" i="2"/>
  <c r="AP68" i="2"/>
  <c r="B68" i="2"/>
  <c r="AP69" i="2"/>
  <c r="B69" i="2"/>
  <c r="AP70" i="2"/>
  <c r="B70" i="2"/>
  <c r="AP71" i="2"/>
  <c r="B71" i="2"/>
  <c r="AP72" i="2"/>
  <c r="B72" i="2"/>
  <c r="AP73" i="2"/>
  <c r="B73" i="2"/>
  <c r="AP74" i="2"/>
  <c r="B74" i="2"/>
  <c r="AP75" i="2"/>
  <c r="B75" i="2"/>
  <c r="AP76" i="2"/>
  <c r="B76" i="2"/>
  <c r="AP77" i="2"/>
  <c r="B77" i="2"/>
  <c r="AP78" i="2"/>
  <c r="B78" i="2"/>
  <c r="AP79" i="2"/>
  <c r="B79" i="2"/>
  <c r="AP80" i="2"/>
  <c r="B80" i="2"/>
  <c r="AP81" i="2"/>
  <c r="B81" i="2"/>
  <c r="AP82" i="2"/>
  <c r="B82" i="2"/>
  <c r="AP83" i="2"/>
  <c r="B83" i="2"/>
  <c r="AP84" i="2"/>
  <c r="B84" i="2"/>
  <c r="AP85" i="2"/>
  <c r="B85" i="2"/>
  <c r="AP86" i="2"/>
  <c r="B86" i="2"/>
  <c r="AP87" i="2"/>
  <c r="B87" i="2"/>
  <c r="AP88" i="2"/>
  <c r="B88" i="2"/>
  <c r="B97" i="2"/>
  <c r="F94" i="2"/>
  <c r="D94" i="2"/>
  <c r="B94" i="2"/>
  <c r="AR89" i="2"/>
  <c r="AQ89" i="2"/>
  <c r="A88" i="2"/>
  <c r="A87" i="2"/>
  <c r="A86" i="2"/>
  <c r="A85" i="2"/>
  <c r="A84" i="2"/>
  <c r="A83" i="2"/>
  <c r="A82" i="2"/>
  <c r="A81" i="2"/>
  <c r="A80" i="2"/>
  <c r="A79" i="2"/>
  <c r="A78" i="2"/>
  <c r="A77" i="2"/>
  <c r="A76" i="2"/>
  <c r="A75" i="2"/>
  <c r="A74" i="2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B106" i="4"/>
  <c r="B107" i="4"/>
  <c r="B108" i="4"/>
  <c r="C106" i="4"/>
  <c r="C107" i="4"/>
  <c r="D106" i="4"/>
  <c r="J108" i="4"/>
  <c r="E6" i="3"/>
  <c r="F6" i="3"/>
  <c r="E7" i="3"/>
  <c r="F7" i="3"/>
  <c r="E8" i="3"/>
  <c r="F8" i="3"/>
  <c r="E9" i="3"/>
  <c r="F9" i="3"/>
  <c r="E10" i="3"/>
  <c r="F10" i="3"/>
  <c r="E11" i="3"/>
  <c r="F11" i="3"/>
  <c r="E12" i="3"/>
  <c r="F12" i="3"/>
  <c r="E13" i="3"/>
  <c r="F13" i="3"/>
  <c r="E14" i="3"/>
  <c r="F14" i="3"/>
  <c r="E15" i="3"/>
  <c r="F15" i="3"/>
  <c r="E16" i="3"/>
  <c r="F16" i="3"/>
  <c r="E17" i="3"/>
  <c r="F17" i="3"/>
  <c r="E18" i="3"/>
  <c r="F18" i="3"/>
  <c r="E19" i="3"/>
  <c r="F19" i="3"/>
  <c r="E20" i="3"/>
  <c r="F20" i="3"/>
  <c r="E21" i="3"/>
  <c r="F21" i="3"/>
  <c r="E22" i="3"/>
  <c r="F22" i="3"/>
  <c r="E23" i="3"/>
  <c r="F23" i="3"/>
  <c r="E24" i="3"/>
  <c r="F24" i="3"/>
  <c r="E25" i="3"/>
  <c r="F25" i="3"/>
  <c r="E26" i="3"/>
  <c r="F26" i="3"/>
  <c r="E27" i="3"/>
  <c r="F27" i="3"/>
  <c r="E28" i="3"/>
  <c r="F28" i="3"/>
  <c r="E29" i="3"/>
  <c r="F29" i="3"/>
  <c r="E30" i="3"/>
  <c r="F30" i="3"/>
  <c r="E31" i="3"/>
  <c r="F31" i="3"/>
  <c r="E32" i="3"/>
  <c r="F32" i="3"/>
  <c r="E33" i="3"/>
  <c r="F33" i="3"/>
  <c r="E34" i="3"/>
  <c r="F34" i="3"/>
  <c r="E35" i="3"/>
  <c r="F35" i="3"/>
  <c r="E36" i="3"/>
  <c r="F36" i="3"/>
  <c r="E37" i="3"/>
  <c r="F37" i="3"/>
  <c r="E38" i="3"/>
  <c r="F38" i="3"/>
  <c r="E39" i="3"/>
  <c r="F39" i="3"/>
  <c r="E40" i="3"/>
  <c r="F40" i="3"/>
  <c r="E41" i="3"/>
  <c r="F41" i="3"/>
  <c r="E42" i="3"/>
  <c r="F42" i="3"/>
  <c r="E43" i="3"/>
  <c r="F43" i="3"/>
  <c r="E44" i="3"/>
  <c r="F44" i="3"/>
  <c r="E45" i="3"/>
  <c r="F45" i="3"/>
  <c r="E46" i="3"/>
  <c r="F46" i="3"/>
  <c r="E47" i="3"/>
  <c r="F47" i="3"/>
  <c r="E48" i="3"/>
  <c r="F48" i="3"/>
  <c r="E49" i="3"/>
  <c r="F49" i="3"/>
  <c r="E50" i="3"/>
  <c r="F50" i="3"/>
  <c r="E51" i="3"/>
  <c r="F51" i="3"/>
  <c r="E52" i="3"/>
  <c r="F52" i="3"/>
  <c r="E53" i="3"/>
  <c r="F53" i="3"/>
  <c r="E54" i="3"/>
  <c r="F54" i="3"/>
  <c r="E55" i="3"/>
  <c r="F55" i="3"/>
  <c r="E56" i="3"/>
  <c r="F56" i="3"/>
  <c r="E57" i="3"/>
  <c r="F57" i="3"/>
  <c r="E58" i="3"/>
  <c r="F58" i="3"/>
  <c r="E59" i="3"/>
  <c r="F59" i="3"/>
  <c r="E60" i="3"/>
  <c r="F60" i="3"/>
  <c r="E61" i="3"/>
  <c r="F61" i="3"/>
  <c r="E62" i="3"/>
  <c r="F62" i="3"/>
  <c r="E63" i="3"/>
  <c r="F63" i="3"/>
  <c r="E64" i="3"/>
  <c r="F64" i="3"/>
  <c r="E65" i="3"/>
  <c r="F65" i="3"/>
  <c r="E66" i="3"/>
  <c r="F66" i="3"/>
  <c r="E67" i="3"/>
  <c r="F67" i="3"/>
  <c r="E68" i="3"/>
  <c r="F68" i="3"/>
  <c r="E69" i="3"/>
  <c r="F69" i="3"/>
  <c r="E70" i="3"/>
  <c r="F70" i="3"/>
  <c r="E71" i="3"/>
  <c r="F71" i="3"/>
  <c r="E72" i="3"/>
  <c r="F72" i="3"/>
  <c r="E73" i="3"/>
  <c r="F73" i="3"/>
  <c r="E74" i="3"/>
  <c r="F74" i="3"/>
  <c r="E75" i="3"/>
  <c r="F75" i="3"/>
  <c r="E76" i="3"/>
  <c r="F76" i="3"/>
  <c r="E77" i="3"/>
  <c r="F77" i="3"/>
  <c r="E78" i="3"/>
  <c r="F78" i="3"/>
  <c r="E79" i="3"/>
  <c r="F79" i="3"/>
  <c r="E80" i="3"/>
  <c r="F80" i="3"/>
  <c r="E81" i="3"/>
  <c r="F81" i="3"/>
  <c r="E82" i="3"/>
  <c r="F82" i="3"/>
  <c r="E83" i="3"/>
  <c r="F83" i="3"/>
  <c r="F85" i="3"/>
  <c r="H6" i="3"/>
  <c r="I6" i="3"/>
  <c r="H7" i="3"/>
  <c r="I7" i="3"/>
  <c r="H8" i="3"/>
  <c r="I8" i="3"/>
  <c r="H9" i="3"/>
  <c r="I9" i="3"/>
  <c r="H10" i="3"/>
  <c r="I10" i="3"/>
  <c r="H11" i="3"/>
  <c r="I11" i="3"/>
  <c r="H12" i="3"/>
  <c r="I12" i="3"/>
  <c r="H13" i="3"/>
  <c r="I13" i="3"/>
  <c r="H14" i="3"/>
  <c r="I14" i="3"/>
  <c r="H15" i="3"/>
  <c r="I15" i="3"/>
  <c r="H16" i="3"/>
  <c r="I16" i="3"/>
  <c r="H17" i="3"/>
  <c r="I17" i="3"/>
  <c r="H18" i="3"/>
  <c r="I18" i="3"/>
  <c r="H19" i="3"/>
  <c r="I19" i="3"/>
  <c r="H20" i="3"/>
  <c r="I20" i="3"/>
  <c r="H21" i="3"/>
  <c r="I21" i="3"/>
  <c r="H22" i="3"/>
  <c r="I22" i="3"/>
  <c r="H23" i="3"/>
  <c r="I23" i="3"/>
  <c r="H24" i="3"/>
  <c r="I24" i="3"/>
  <c r="H25" i="3"/>
  <c r="I25" i="3"/>
  <c r="H26" i="3"/>
  <c r="I26" i="3"/>
  <c r="H27" i="3"/>
  <c r="I27" i="3"/>
  <c r="H28" i="3"/>
  <c r="I28" i="3"/>
  <c r="H29" i="3"/>
  <c r="I29" i="3"/>
  <c r="H30" i="3"/>
  <c r="I30" i="3"/>
  <c r="H31" i="3"/>
  <c r="I31" i="3"/>
  <c r="H32" i="3"/>
  <c r="I32" i="3"/>
  <c r="H33" i="3"/>
  <c r="I33" i="3"/>
  <c r="H34" i="3"/>
  <c r="I34" i="3"/>
  <c r="H35" i="3"/>
  <c r="I35" i="3"/>
  <c r="H36" i="3"/>
  <c r="I36" i="3"/>
  <c r="H37" i="3"/>
  <c r="I37" i="3"/>
  <c r="H38" i="3"/>
  <c r="I38" i="3"/>
  <c r="H39" i="3"/>
  <c r="I39" i="3"/>
  <c r="H40" i="3"/>
  <c r="I40" i="3"/>
  <c r="H41" i="3"/>
  <c r="I41" i="3"/>
  <c r="H42" i="3"/>
  <c r="I42" i="3"/>
  <c r="H43" i="3"/>
  <c r="I43" i="3"/>
  <c r="H44" i="3"/>
  <c r="I44" i="3"/>
  <c r="H45" i="3"/>
  <c r="I45" i="3"/>
  <c r="H46" i="3"/>
  <c r="I46" i="3"/>
  <c r="H47" i="3"/>
  <c r="I47" i="3"/>
  <c r="H48" i="3"/>
  <c r="I48" i="3"/>
  <c r="H49" i="3"/>
  <c r="I49" i="3"/>
  <c r="H50" i="3"/>
  <c r="I50" i="3"/>
  <c r="H51" i="3"/>
  <c r="I51" i="3"/>
  <c r="H52" i="3"/>
  <c r="I52" i="3"/>
  <c r="H53" i="3"/>
  <c r="I53" i="3"/>
  <c r="H54" i="3"/>
  <c r="I54" i="3"/>
  <c r="H55" i="3"/>
  <c r="I55" i="3"/>
  <c r="H56" i="3"/>
  <c r="I56" i="3"/>
  <c r="H57" i="3"/>
  <c r="I57" i="3"/>
  <c r="H58" i="3"/>
  <c r="I58" i="3"/>
  <c r="H59" i="3"/>
  <c r="I59" i="3"/>
  <c r="H60" i="3"/>
  <c r="I60" i="3"/>
  <c r="H61" i="3"/>
  <c r="I61" i="3"/>
  <c r="H62" i="3"/>
  <c r="I62" i="3"/>
  <c r="H63" i="3"/>
  <c r="I63" i="3"/>
  <c r="H64" i="3"/>
  <c r="I64" i="3"/>
  <c r="H65" i="3"/>
  <c r="I65" i="3"/>
  <c r="H66" i="3"/>
  <c r="I66" i="3"/>
  <c r="H67" i="3"/>
  <c r="I67" i="3"/>
  <c r="H68" i="3"/>
  <c r="I68" i="3"/>
  <c r="H69" i="3"/>
  <c r="I69" i="3"/>
  <c r="H70" i="3"/>
  <c r="I70" i="3"/>
  <c r="H71" i="3"/>
  <c r="I71" i="3"/>
  <c r="H72" i="3"/>
  <c r="I72" i="3"/>
  <c r="H73" i="3"/>
  <c r="I73" i="3"/>
  <c r="H74" i="3"/>
  <c r="I74" i="3"/>
  <c r="H75" i="3"/>
  <c r="I75" i="3"/>
  <c r="H76" i="3"/>
  <c r="I76" i="3"/>
  <c r="H77" i="3"/>
  <c r="I77" i="3"/>
  <c r="H78" i="3"/>
  <c r="I78" i="3"/>
  <c r="H79" i="3"/>
  <c r="I79" i="3"/>
  <c r="H80" i="3"/>
  <c r="I80" i="3"/>
  <c r="H81" i="3"/>
  <c r="I81" i="3"/>
  <c r="H82" i="3"/>
  <c r="I82" i="3"/>
  <c r="H83" i="3"/>
  <c r="I83" i="3"/>
  <c r="I85" i="3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5" i="4"/>
  <c r="F106" i="4"/>
  <c r="K108" i="4"/>
  <c r="I108" i="4"/>
  <c r="J107" i="4"/>
  <c r="K107" i="4"/>
  <c r="I107" i="4"/>
  <c r="J106" i="4"/>
  <c r="K106" i="4"/>
  <c r="I106" i="4"/>
  <c r="B101" i="4"/>
  <c r="C100" i="4"/>
  <c r="I102" i="4"/>
  <c r="P4" i="3"/>
  <c r="M6" i="3"/>
  <c r="H6" i="4"/>
  <c r="M7" i="3"/>
  <c r="H7" i="4"/>
  <c r="M8" i="3"/>
  <c r="H8" i="4"/>
  <c r="M9" i="3"/>
  <c r="H9" i="4"/>
  <c r="M10" i="3"/>
  <c r="H10" i="4"/>
  <c r="M11" i="3"/>
  <c r="H11" i="4"/>
  <c r="M12" i="3"/>
  <c r="H12" i="4"/>
  <c r="M13" i="3"/>
  <c r="H13" i="4"/>
  <c r="M14" i="3"/>
  <c r="H14" i="4"/>
  <c r="M15" i="3"/>
  <c r="H15" i="4"/>
  <c r="M16" i="3"/>
  <c r="H16" i="4"/>
  <c r="M17" i="3"/>
  <c r="H17" i="4"/>
  <c r="M18" i="3"/>
  <c r="H18" i="4"/>
  <c r="M19" i="3"/>
  <c r="H19" i="4"/>
  <c r="M20" i="3"/>
  <c r="H20" i="4"/>
  <c r="M21" i="3"/>
  <c r="H21" i="4"/>
  <c r="M22" i="3"/>
  <c r="H22" i="4"/>
  <c r="M23" i="3"/>
  <c r="H23" i="4"/>
  <c r="M24" i="3"/>
  <c r="H24" i="4"/>
  <c r="M25" i="3"/>
  <c r="H25" i="4"/>
  <c r="M26" i="3"/>
  <c r="H26" i="4"/>
  <c r="M27" i="3"/>
  <c r="H27" i="4"/>
  <c r="M28" i="3"/>
  <c r="H28" i="4"/>
  <c r="M29" i="3"/>
  <c r="H29" i="4"/>
  <c r="M30" i="3"/>
  <c r="H30" i="4"/>
  <c r="M31" i="3"/>
  <c r="H31" i="4"/>
  <c r="M32" i="3"/>
  <c r="H32" i="4"/>
  <c r="M33" i="3"/>
  <c r="H33" i="4"/>
  <c r="M34" i="3"/>
  <c r="H34" i="4"/>
  <c r="M35" i="3"/>
  <c r="H35" i="4"/>
  <c r="M36" i="3"/>
  <c r="H36" i="4"/>
  <c r="M37" i="3"/>
  <c r="H37" i="4"/>
  <c r="M38" i="3"/>
  <c r="H38" i="4"/>
  <c r="M39" i="3"/>
  <c r="H39" i="4"/>
  <c r="M40" i="3"/>
  <c r="H40" i="4"/>
  <c r="M41" i="3"/>
  <c r="H41" i="4"/>
  <c r="M42" i="3"/>
  <c r="H42" i="4"/>
  <c r="M43" i="3"/>
  <c r="H43" i="4"/>
  <c r="M44" i="3"/>
  <c r="H44" i="4"/>
  <c r="M45" i="3"/>
  <c r="H45" i="4"/>
  <c r="M46" i="3"/>
  <c r="H46" i="4"/>
  <c r="M47" i="3"/>
  <c r="H47" i="4"/>
  <c r="M48" i="3"/>
  <c r="H48" i="4"/>
  <c r="M49" i="3"/>
  <c r="H49" i="4"/>
  <c r="M50" i="3"/>
  <c r="H50" i="4"/>
  <c r="M51" i="3"/>
  <c r="H51" i="4"/>
  <c r="M52" i="3"/>
  <c r="H52" i="4"/>
  <c r="M53" i="3"/>
  <c r="H53" i="4"/>
  <c r="M54" i="3"/>
  <c r="H54" i="4"/>
  <c r="M55" i="3"/>
  <c r="H55" i="4"/>
  <c r="M56" i="3"/>
  <c r="H56" i="4"/>
  <c r="M57" i="3"/>
  <c r="H57" i="4"/>
  <c r="M58" i="3"/>
  <c r="H58" i="4"/>
  <c r="M59" i="3"/>
  <c r="H59" i="4"/>
  <c r="M60" i="3"/>
  <c r="H60" i="4"/>
  <c r="M61" i="3"/>
  <c r="H61" i="4"/>
  <c r="M62" i="3"/>
  <c r="H62" i="4"/>
  <c r="M63" i="3"/>
  <c r="H63" i="4"/>
  <c r="M64" i="3"/>
  <c r="H64" i="4"/>
  <c r="M65" i="3"/>
  <c r="H65" i="4"/>
  <c r="M66" i="3"/>
  <c r="H66" i="4"/>
  <c r="M67" i="3"/>
  <c r="H67" i="4"/>
  <c r="M68" i="3"/>
  <c r="H68" i="4"/>
  <c r="M69" i="3"/>
  <c r="H69" i="4"/>
  <c r="M70" i="3"/>
  <c r="H70" i="4"/>
  <c r="M71" i="3"/>
  <c r="H71" i="4"/>
  <c r="M72" i="3"/>
  <c r="H72" i="4"/>
  <c r="M73" i="3"/>
  <c r="H73" i="4"/>
  <c r="M74" i="3"/>
  <c r="H74" i="4"/>
  <c r="M75" i="3"/>
  <c r="H75" i="4"/>
  <c r="M76" i="3"/>
  <c r="H76" i="4"/>
  <c r="M77" i="3"/>
  <c r="H77" i="4"/>
  <c r="M78" i="3"/>
  <c r="H78" i="4"/>
  <c r="M79" i="3"/>
  <c r="H79" i="4"/>
  <c r="M80" i="3"/>
  <c r="H80" i="4"/>
  <c r="M81" i="3"/>
  <c r="H81" i="4"/>
  <c r="M82" i="3"/>
  <c r="H82" i="4"/>
  <c r="M83" i="3"/>
  <c r="H83" i="4"/>
  <c r="H85" i="4"/>
  <c r="E100" i="4"/>
  <c r="J102" i="4"/>
  <c r="H102" i="4"/>
  <c r="I101" i="4"/>
  <c r="J101" i="4"/>
  <c r="H101" i="4"/>
  <c r="I100" i="4"/>
  <c r="J100" i="4"/>
  <c r="H100" i="4"/>
  <c r="B96" i="4"/>
  <c r="C95" i="4"/>
  <c r="I97" i="4"/>
  <c r="B6" i="3"/>
  <c r="C6" i="3"/>
  <c r="B7" i="3"/>
  <c r="C7" i="3"/>
  <c r="B8" i="3"/>
  <c r="C8" i="3"/>
  <c r="B9" i="3"/>
  <c r="C9" i="3"/>
  <c r="B10" i="3"/>
  <c r="C10" i="3"/>
  <c r="B11" i="3"/>
  <c r="C11" i="3"/>
  <c r="B12" i="3"/>
  <c r="C12" i="3"/>
  <c r="B13" i="3"/>
  <c r="C13" i="3"/>
  <c r="B14" i="3"/>
  <c r="C14" i="3"/>
  <c r="B15" i="3"/>
  <c r="C15" i="3"/>
  <c r="B16" i="3"/>
  <c r="C16" i="3"/>
  <c r="B17" i="3"/>
  <c r="C17" i="3"/>
  <c r="B18" i="3"/>
  <c r="C18" i="3"/>
  <c r="B19" i="3"/>
  <c r="C19" i="3"/>
  <c r="B20" i="3"/>
  <c r="C20" i="3"/>
  <c r="B21" i="3"/>
  <c r="C21" i="3"/>
  <c r="B22" i="3"/>
  <c r="C22" i="3"/>
  <c r="B23" i="3"/>
  <c r="C23" i="3"/>
  <c r="B24" i="3"/>
  <c r="C24" i="3"/>
  <c r="B25" i="3"/>
  <c r="C25" i="3"/>
  <c r="B26" i="3"/>
  <c r="C26" i="3"/>
  <c r="B27" i="3"/>
  <c r="C27" i="3"/>
  <c r="B28" i="3"/>
  <c r="C28" i="3"/>
  <c r="B29" i="3"/>
  <c r="C29" i="3"/>
  <c r="B30" i="3"/>
  <c r="C30" i="3"/>
  <c r="B31" i="3"/>
  <c r="C31" i="3"/>
  <c r="B32" i="3"/>
  <c r="C32" i="3"/>
  <c r="B33" i="3"/>
  <c r="C33" i="3"/>
  <c r="B34" i="3"/>
  <c r="C34" i="3"/>
  <c r="B35" i="3"/>
  <c r="C35" i="3"/>
  <c r="B36" i="3"/>
  <c r="C36" i="3"/>
  <c r="B37" i="3"/>
  <c r="C37" i="3"/>
  <c r="B38" i="3"/>
  <c r="C38" i="3"/>
  <c r="B39" i="3"/>
  <c r="C39" i="3"/>
  <c r="B40" i="3"/>
  <c r="C40" i="3"/>
  <c r="B41" i="3"/>
  <c r="C41" i="3"/>
  <c r="B42" i="3"/>
  <c r="C42" i="3"/>
  <c r="B43" i="3"/>
  <c r="C43" i="3"/>
  <c r="B44" i="3"/>
  <c r="C44" i="3"/>
  <c r="B45" i="3"/>
  <c r="C45" i="3"/>
  <c r="B46" i="3"/>
  <c r="C46" i="3"/>
  <c r="B47" i="3"/>
  <c r="C47" i="3"/>
  <c r="B48" i="3"/>
  <c r="C48" i="3"/>
  <c r="B49" i="3"/>
  <c r="C49" i="3"/>
  <c r="B50" i="3"/>
  <c r="C50" i="3"/>
  <c r="B51" i="3"/>
  <c r="C51" i="3"/>
  <c r="B52" i="3"/>
  <c r="C52" i="3"/>
  <c r="B53" i="3"/>
  <c r="C53" i="3"/>
  <c r="B54" i="3"/>
  <c r="C54" i="3"/>
  <c r="B55" i="3"/>
  <c r="C55" i="3"/>
  <c r="B56" i="3"/>
  <c r="C56" i="3"/>
  <c r="B57" i="3"/>
  <c r="C57" i="3"/>
  <c r="B58" i="3"/>
  <c r="C58" i="3"/>
  <c r="B59" i="3"/>
  <c r="C59" i="3"/>
  <c r="B60" i="3"/>
  <c r="C60" i="3"/>
  <c r="B61" i="3"/>
  <c r="C61" i="3"/>
  <c r="B62" i="3"/>
  <c r="C62" i="3"/>
  <c r="B63" i="3"/>
  <c r="C63" i="3"/>
  <c r="B64" i="3"/>
  <c r="C64" i="3"/>
  <c r="B65" i="3"/>
  <c r="C65" i="3"/>
  <c r="B66" i="3"/>
  <c r="C66" i="3"/>
  <c r="B67" i="3"/>
  <c r="C67" i="3"/>
  <c r="B68" i="3"/>
  <c r="C68" i="3"/>
  <c r="B69" i="3"/>
  <c r="C69" i="3"/>
  <c r="B70" i="3"/>
  <c r="C70" i="3"/>
  <c r="B71" i="3"/>
  <c r="C71" i="3"/>
  <c r="B72" i="3"/>
  <c r="C72" i="3"/>
  <c r="B73" i="3"/>
  <c r="C73" i="3"/>
  <c r="B74" i="3"/>
  <c r="C74" i="3"/>
  <c r="B75" i="3"/>
  <c r="C75" i="3"/>
  <c r="B76" i="3"/>
  <c r="C76" i="3"/>
  <c r="B77" i="3"/>
  <c r="C77" i="3"/>
  <c r="B78" i="3"/>
  <c r="C78" i="3"/>
  <c r="B79" i="3"/>
  <c r="C79" i="3"/>
  <c r="B80" i="3"/>
  <c r="C80" i="3"/>
  <c r="B81" i="3"/>
  <c r="C81" i="3"/>
  <c r="B82" i="3"/>
  <c r="C82" i="3"/>
  <c r="B83" i="3"/>
  <c r="C83" i="3"/>
  <c r="C85" i="3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5" i="4"/>
  <c r="E95" i="4"/>
  <c r="J97" i="4"/>
  <c r="H97" i="4"/>
  <c r="I96" i="4"/>
  <c r="J96" i="4"/>
  <c r="H96" i="4"/>
  <c r="I95" i="4"/>
  <c r="J95" i="4"/>
  <c r="H95" i="4"/>
  <c r="B92" i="4"/>
  <c r="I93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5" i="4"/>
  <c r="E91" i="4"/>
  <c r="J93" i="4"/>
  <c r="H93" i="4"/>
  <c r="I92" i="4"/>
  <c r="J92" i="4"/>
  <c r="H92" i="4"/>
  <c r="I91" i="4"/>
  <c r="J91" i="4"/>
  <c r="H91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5" i="4"/>
  <c r="I86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5" i="3"/>
  <c r="N86" i="3"/>
  <c r="J86" i="4"/>
  <c r="H86" i="4"/>
  <c r="F86" i="3"/>
  <c r="G86" i="4"/>
  <c r="C86" i="3"/>
  <c r="D86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5" i="4"/>
  <c r="C86" i="4"/>
  <c r="A83" i="4"/>
  <c r="A82" i="4"/>
  <c r="A81" i="4"/>
  <c r="A80" i="4"/>
  <c r="A79" i="4"/>
  <c r="A78" i="4"/>
  <c r="A77" i="4"/>
  <c r="A76" i="4"/>
  <c r="A75" i="4"/>
  <c r="A74" i="4"/>
  <c r="A73" i="4"/>
  <c r="A72" i="4"/>
  <c r="A71" i="4"/>
  <c r="A70" i="4"/>
  <c r="A69" i="4"/>
  <c r="A68" i="4"/>
  <c r="A67" i="4"/>
  <c r="A66" i="4"/>
  <c r="A65" i="4"/>
  <c r="A64" i="4"/>
  <c r="A63" i="4"/>
  <c r="A62" i="4"/>
  <c r="A61" i="4"/>
  <c r="A60" i="4"/>
  <c r="A59" i="4"/>
  <c r="A58" i="4"/>
  <c r="A57" i="4"/>
  <c r="A56" i="4"/>
  <c r="A55" i="4"/>
  <c r="A54" i="4"/>
  <c r="A53" i="4"/>
  <c r="A52" i="4"/>
  <c r="A51" i="4"/>
  <c r="A50" i="4"/>
  <c r="A49" i="4"/>
  <c r="A48" i="4"/>
  <c r="A47" i="4"/>
  <c r="A46" i="4"/>
  <c r="A45" i="4"/>
  <c r="A44" i="4"/>
  <c r="A43" i="4"/>
  <c r="A42" i="4"/>
  <c r="A41" i="4"/>
  <c r="A40" i="4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U12" i="5"/>
  <c r="V12" i="5"/>
  <c r="AA12" i="5"/>
  <c r="C12" i="5"/>
  <c r="R4" i="5"/>
  <c r="E12" i="5"/>
  <c r="AA4" i="5"/>
  <c r="Q12" i="5"/>
  <c r="AB12" i="5"/>
  <c r="G12" i="5"/>
  <c r="J12" i="5"/>
  <c r="M12" i="5"/>
  <c r="U10" i="5"/>
  <c r="V10" i="5"/>
  <c r="AA10" i="5"/>
  <c r="C10" i="5"/>
  <c r="E10" i="5"/>
  <c r="Q10" i="5"/>
  <c r="AB10" i="5"/>
  <c r="G10" i="5"/>
  <c r="J10" i="5"/>
  <c r="M10" i="5"/>
  <c r="U8" i="5"/>
  <c r="V8" i="5"/>
  <c r="AA8" i="5"/>
  <c r="C8" i="5"/>
  <c r="E8" i="5"/>
  <c r="Q8" i="5"/>
  <c r="AB8" i="5"/>
  <c r="G8" i="5"/>
  <c r="J8" i="5"/>
  <c r="M8" i="5"/>
  <c r="M95" i="3"/>
  <c r="M96" i="3"/>
  <c r="N101" i="3"/>
  <c r="M101" i="3"/>
  <c r="I94" i="3"/>
  <c r="I95" i="3"/>
  <c r="I98" i="3"/>
  <c r="I96" i="3"/>
  <c r="J101" i="3"/>
  <c r="I101" i="3"/>
  <c r="F94" i="3"/>
  <c r="F95" i="3"/>
  <c r="F96" i="3"/>
  <c r="G101" i="3"/>
  <c r="F101" i="3"/>
  <c r="C94" i="3"/>
  <c r="C95" i="3"/>
  <c r="C96" i="3"/>
  <c r="D101" i="3"/>
  <c r="C101" i="3"/>
  <c r="N100" i="3"/>
  <c r="M100" i="3"/>
  <c r="J100" i="3"/>
  <c r="I100" i="3"/>
  <c r="G100" i="3"/>
  <c r="F100" i="3"/>
  <c r="D100" i="3"/>
  <c r="C100" i="3"/>
  <c r="M98" i="3"/>
  <c r="N99" i="3"/>
  <c r="M99" i="3"/>
  <c r="J99" i="3"/>
  <c r="I99" i="3"/>
  <c r="G99" i="3"/>
  <c r="F99" i="3"/>
  <c r="D99" i="3"/>
  <c r="C99" i="3"/>
  <c r="F98" i="3"/>
  <c r="C98" i="3"/>
  <c r="M84" i="3"/>
  <c r="H84" i="3"/>
  <c r="E84" i="3"/>
  <c r="B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</calcChain>
</file>

<file path=xl/sharedStrings.xml><?xml version="1.0" encoding="utf-8"?>
<sst xmlns="http://schemas.openxmlformats.org/spreadsheetml/2006/main" count="462" uniqueCount="97">
  <si>
    <t>A couple of things to note: the data file reports the months in which the stock is ex- cash dividends and stock distributions.</t>
  </si>
  <si>
    <t xml:space="preserve">  A return can not be less than -100%.  Any value greater than 30% in absolute value should be checked for errors.</t>
  </si>
  <si>
    <t>Once we have viable returns we can calculate the univariate statistics for each stock.  First we compute the mean return -- also called the expected return.</t>
  </si>
  <si>
    <t>The mean return is the sample average -- we add up all 78 monthly returns and divide by 78:</t>
  </si>
  <si>
    <t>The Excel function average does this as well:</t>
  </si>
  <si>
    <t>Ret - Rbar</t>
  </si>
  <si>
    <t>Date</t>
  </si>
  <si>
    <t>To compute the monthly return standard deviations we need an intermediate column that shows each monthly return minus the mean return.</t>
  </si>
  <si>
    <t xml:space="preserve">  Then we square these deviations</t>
  </si>
  <si>
    <t>(ret - Rbar)^2</t>
  </si>
  <si>
    <t>Since these are squared, they all have to be positive.</t>
  </si>
  <si>
    <t>The average of these squared deviations is the variance.</t>
  </si>
  <si>
    <t>The square-root of the variance is the standard deviation.</t>
  </si>
  <si>
    <t>Monthly return var:</t>
  </si>
  <si>
    <t xml:space="preserve">   standard deviation:</t>
  </si>
  <si>
    <t>We already have the returns for the CRSP value-weighted incex (VWRETD).</t>
  </si>
  <si>
    <t xml:space="preserve">Mean monthly return: </t>
  </si>
  <si>
    <t>Probabilty Ranges for 500 shares after 1 year:</t>
  </si>
  <si>
    <t>Value on June 29, 2018:</t>
  </si>
  <si>
    <t>12-month E( r):</t>
  </si>
  <si>
    <t>12-mo std dev:</t>
  </si>
  <si>
    <t>68% Range:</t>
  </si>
  <si>
    <t>95% Range:</t>
  </si>
  <si>
    <t>99% Range:</t>
  </si>
  <si>
    <t>Expect Value:</t>
  </si>
  <si>
    <t>If you invest $100,000 in the value-weighted market:</t>
  </si>
  <si>
    <t>We need covariances between all assets.</t>
  </si>
  <si>
    <t>We already have a column that has the return minus the mean return for each asset.  The (cross-)products of these are needed for the covariance.</t>
  </si>
  <si>
    <t>ITT - NOC</t>
  </si>
  <si>
    <t>ITT - WY</t>
  </si>
  <si>
    <t>ITT-VWRETD</t>
  </si>
  <si>
    <t>NOC - WY</t>
  </si>
  <si>
    <t>NOC - VWRETD</t>
  </si>
  <si>
    <t>WY - VWRETD</t>
  </si>
  <si>
    <t>covariances:</t>
  </si>
  <si>
    <t>correlations:</t>
  </si>
  <si>
    <t>2-stock portfolios:</t>
  </si>
  <si>
    <t>WY:</t>
  </si>
  <si>
    <t>ITT:</t>
  </si>
  <si>
    <t>Wt</t>
  </si>
  <si>
    <t>E( r)</t>
  </si>
  <si>
    <t>std dev</t>
  </si>
  <si>
    <t>variance</t>
  </si>
  <si>
    <t>NOC:</t>
  </si>
  <si>
    <t xml:space="preserve">WY: </t>
  </si>
  <si>
    <t>500 shares of NOC and 1,000 shares of WY:</t>
  </si>
  <si>
    <t>Value</t>
  </si>
  <si>
    <t>Weight</t>
  </si>
  <si>
    <t>95% Range</t>
  </si>
  <si>
    <t>Low</t>
  </si>
  <si>
    <t>High</t>
  </si>
  <si>
    <t>Annual</t>
  </si>
  <si>
    <t>We decompose systematic (i.e., non-diversifiable) and non-systematic (i.e., diversifiable) risk by regressing an asset's returns on the market returns.</t>
  </si>
  <si>
    <t>This is a univariate regression, and the first step is to obtain the beta.</t>
  </si>
  <si>
    <t>In the PS2 worksheet, we have the covariances between each of the 3 stocks and the market.</t>
  </si>
  <si>
    <t>cov(ITT, VWRETD):</t>
  </si>
  <si>
    <t>cov(NOC, VWRETD):</t>
  </si>
  <si>
    <t>cov(WY, VWRETD):</t>
  </si>
  <si>
    <t>And in the Std Dev workbook we have the variance of the monthly returns on VWRETD:</t>
  </si>
  <si>
    <t>Beta</t>
  </si>
  <si>
    <t>Systematic Variance</t>
  </si>
  <si>
    <t>Diversifiable Variance</t>
  </si>
  <si>
    <t>E(rm):</t>
  </si>
  <si>
    <t>rf:</t>
  </si>
  <si>
    <t>E( r) Under CAPM</t>
  </si>
  <si>
    <t>% of variance that is diversifiable</t>
  </si>
  <si>
    <t>Market risk premium:</t>
  </si>
  <si>
    <t>Marginal Tax Rate:</t>
  </si>
  <si>
    <t>SHOUT</t>
  </si>
  <si>
    <t>Share Price</t>
  </si>
  <si>
    <t>`</t>
  </si>
  <si>
    <t>Eq. Mkt Cap</t>
  </si>
  <si>
    <t>LT Debt*</t>
  </si>
  <si>
    <t>* Includes asbestos-related and pension liabilities for ITT Corp.</t>
  </si>
  <si>
    <t>A-T Cost of debt</t>
  </si>
  <si>
    <t>Credit Spread</t>
  </si>
  <si>
    <t>WACC</t>
  </si>
  <si>
    <t>Ent Value</t>
  </si>
  <si>
    <t>date</t>
  </si>
  <si>
    <t>TICKER</t>
  </si>
  <si>
    <t>DIVAMT</t>
  </si>
  <si>
    <t>FACSHR</t>
  </si>
  <si>
    <t>PRC</t>
  </si>
  <si>
    <t>ITT</t>
  </si>
  <si>
    <t>NOC</t>
  </si>
  <si>
    <t>WY</t>
  </si>
  <si>
    <t>ITT Corporation</t>
  </si>
  <si>
    <t>Northrup Grummon</t>
  </si>
  <si>
    <t>Weyerhauser</t>
  </si>
  <si>
    <t>VWRETD</t>
  </si>
  <si>
    <t>Construct the rate of return in each month:</t>
  </si>
  <si>
    <t xml:space="preserve">  The first step is to create an adjusted lagged price to account for stock distributions (stock splits or stock dividends).</t>
  </si>
  <si>
    <t>Adjusted</t>
  </si>
  <si>
    <t>Lag Price</t>
  </si>
  <si>
    <t xml:space="preserve">   Because this is an intermediate calculation, we'll keep it out of sight (columns AP, AQ, and AR).</t>
  </si>
  <si>
    <t>Next we compute the returns adjusted for stock distributions and cash dividends:</t>
  </si>
  <si>
    <t>Risk 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</si>
</sst>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2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theme="2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name val="Verdana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8" fillId="36" borderId="0" xfId="0" applyFont="1" applyFill="1"/>
    <xf numFmtId="1" fontId="0" fillId="0" borderId="0" xfId="0" applyNumberFormat="1"/>
    <xf numFmtId="4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3" fontId="0" fillId="0" borderId="0" xfId="0" applyNumberFormat="1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9" fillId="33" borderId="0" xfId="0" applyFont="1" applyFill="1" applyAlignment="1">
      <alignment horizontal="center"/>
    </xf>
    <xf numFmtId="0" fontId="20" fillId="34" borderId="0" xfId="0" applyFont="1" applyFill="1" applyAlignment="1">
      <alignment horizontal="center"/>
    </xf>
    <xf numFmtId="0" fontId="21" fillId="34" borderId="0" xfId="0" applyFont="1" applyFill="1" applyAlignment="1">
      <alignment horizontal="center"/>
    </xf>
    <xf numFmtId="0" fontId="20" fillId="35" borderId="0" xfId="0" applyFont="1" applyFill="1" applyAlignment="1">
      <alignment horizontal="center"/>
    </xf>
    <xf numFmtId="0" fontId="21" fillId="35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Q239"/>
  <sheetViews>
    <sheetView workbookViewId="0">
      <selection activeCell="Q3" sqref="Q3"/>
    </sheetView>
  </sheetViews>
  <sheetFormatPr defaultColWidth="8.85546875" defaultRowHeight="15" x14ac:dyDescent="0.25"/>
  <sheetData>
    <row r="1" spans="1:17" ht="21" x14ac:dyDescent="0.35">
      <c r="B1" s="9" t="s">
        <v>86</v>
      </c>
      <c r="C1" s="9"/>
      <c r="D1" s="9"/>
      <c r="E1" s="9"/>
      <c r="G1" s="10" t="s">
        <v>87</v>
      </c>
      <c r="H1" s="11"/>
      <c r="I1" s="11"/>
      <c r="J1" s="11"/>
      <c r="L1" s="12" t="s">
        <v>88</v>
      </c>
      <c r="M1" s="13"/>
      <c r="N1" s="13"/>
      <c r="O1" s="13"/>
      <c r="Q1" s="1" t="s">
        <v>89</v>
      </c>
    </row>
    <row r="2" spans="1:17" x14ac:dyDescent="0.25">
      <c r="A2" t="s">
        <v>78</v>
      </c>
      <c r="B2" t="s">
        <v>79</v>
      </c>
      <c r="C2" t="s">
        <v>80</v>
      </c>
      <c r="D2" t="s">
        <v>81</v>
      </c>
      <c r="E2" t="s">
        <v>82</v>
      </c>
      <c r="G2" t="s">
        <v>79</v>
      </c>
      <c r="H2" t="s">
        <v>80</v>
      </c>
      <c r="I2" t="s">
        <v>81</v>
      </c>
      <c r="J2" t="s">
        <v>82</v>
      </c>
      <c r="L2" t="s">
        <v>79</v>
      </c>
      <c r="M2" t="s">
        <v>80</v>
      </c>
      <c r="N2" t="s">
        <v>81</v>
      </c>
      <c r="O2" t="s">
        <v>82</v>
      </c>
    </row>
    <row r="3" spans="1:17" x14ac:dyDescent="0.25">
      <c r="A3">
        <v>20111230</v>
      </c>
      <c r="B3" t="s">
        <v>83</v>
      </c>
      <c r="E3">
        <v>19.329999999999998</v>
      </c>
      <c r="G3" t="s">
        <v>84</v>
      </c>
      <c r="J3">
        <v>58.48</v>
      </c>
      <c r="L3" t="s">
        <v>85</v>
      </c>
      <c r="O3">
        <v>18.670000000000002</v>
      </c>
      <c r="Q3">
        <v>3.7009999999999999E-3</v>
      </c>
    </row>
    <row r="4" spans="1:17" x14ac:dyDescent="0.25">
      <c r="A4">
        <v>20120131</v>
      </c>
      <c r="B4" t="s">
        <v>83</v>
      </c>
      <c r="E4">
        <v>21.74</v>
      </c>
      <c r="G4" t="s">
        <v>84</v>
      </c>
      <c r="J4">
        <v>58.05</v>
      </c>
      <c r="L4" t="s">
        <v>85</v>
      </c>
      <c r="O4">
        <v>20.02</v>
      </c>
      <c r="Q4">
        <v>5.4060999999999998E-2</v>
      </c>
    </row>
    <row r="5" spans="1:17" x14ac:dyDescent="0.25">
      <c r="A5">
        <v>20120229</v>
      </c>
      <c r="B5" t="s">
        <v>83</v>
      </c>
      <c r="E5">
        <v>24.95</v>
      </c>
      <c r="G5" t="s">
        <v>84</v>
      </c>
      <c r="H5">
        <v>0.5</v>
      </c>
      <c r="I5">
        <v>0</v>
      </c>
      <c r="J5">
        <v>59.81</v>
      </c>
      <c r="L5" t="s">
        <v>85</v>
      </c>
      <c r="M5">
        <v>0.15</v>
      </c>
      <c r="N5">
        <v>0</v>
      </c>
      <c r="O5">
        <v>20.89</v>
      </c>
      <c r="Q5">
        <v>4.1211999999999999E-2</v>
      </c>
    </row>
    <row r="6" spans="1:17" x14ac:dyDescent="0.25">
      <c r="A6">
        <v>20120330</v>
      </c>
      <c r="B6" t="s">
        <v>83</v>
      </c>
      <c r="C6">
        <v>9.0999999999999998E-2</v>
      </c>
      <c r="D6">
        <v>0</v>
      </c>
      <c r="E6">
        <v>22.94</v>
      </c>
      <c r="G6" t="s">
        <v>84</v>
      </c>
      <c r="J6">
        <v>61.08</v>
      </c>
      <c r="L6" t="s">
        <v>85</v>
      </c>
      <c r="O6">
        <v>21.92</v>
      </c>
      <c r="Q6">
        <v>2.3984999999999999E-2</v>
      </c>
    </row>
    <row r="7" spans="1:17" x14ac:dyDescent="0.25">
      <c r="A7">
        <v>20120430</v>
      </c>
      <c r="B7" t="s">
        <v>83</v>
      </c>
      <c r="E7">
        <v>22.46</v>
      </c>
      <c r="G7" t="s">
        <v>84</v>
      </c>
      <c r="J7">
        <v>63.28</v>
      </c>
      <c r="L7" t="s">
        <v>85</v>
      </c>
      <c r="O7">
        <v>20.36</v>
      </c>
      <c r="Q7">
        <v>-6.7949999999999998E-3</v>
      </c>
    </row>
    <row r="8" spans="1:17" x14ac:dyDescent="0.25">
      <c r="A8">
        <v>20120531</v>
      </c>
      <c r="B8" t="s">
        <v>83</v>
      </c>
      <c r="C8">
        <v>9.0999999999999998E-2</v>
      </c>
      <c r="D8">
        <v>0</v>
      </c>
      <c r="E8">
        <v>20.53</v>
      </c>
      <c r="G8" t="s">
        <v>84</v>
      </c>
      <c r="H8">
        <v>0.55000000000000004</v>
      </c>
      <c r="I8">
        <v>0</v>
      </c>
      <c r="J8">
        <v>58.75</v>
      </c>
      <c r="L8" t="s">
        <v>85</v>
      </c>
      <c r="M8">
        <v>0.15</v>
      </c>
      <c r="N8">
        <v>0</v>
      </c>
      <c r="O8">
        <v>19.91</v>
      </c>
      <c r="Q8">
        <v>-6.5522999999999998E-2</v>
      </c>
    </row>
    <row r="9" spans="1:17" x14ac:dyDescent="0.25">
      <c r="A9">
        <v>20120629</v>
      </c>
      <c r="B9" t="s">
        <v>83</v>
      </c>
      <c r="E9">
        <v>17.600000000000001</v>
      </c>
      <c r="G9" t="s">
        <v>84</v>
      </c>
      <c r="J9">
        <v>63.79</v>
      </c>
      <c r="L9" t="s">
        <v>85</v>
      </c>
      <c r="O9">
        <v>22.36</v>
      </c>
      <c r="Q9">
        <v>3.8158999999999998E-2</v>
      </c>
    </row>
    <row r="10" spans="1:17" x14ac:dyDescent="0.25">
      <c r="A10">
        <v>20120731</v>
      </c>
      <c r="B10" t="s">
        <v>83</v>
      </c>
      <c r="E10">
        <v>18.739999999999998</v>
      </c>
      <c r="G10" t="s">
        <v>84</v>
      </c>
      <c r="J10">
        <v>66.2</v>
      </c>
      <c r="L10" t="s">
        <v>85</v>
      </c>
      <c r="O10">
        <v>23.35</v>
      </c>
      <c r="Q10">
        <v>1.0285000000000001E-2</v>
      </c>
    </row>
    <row r="11" spans="1:17" x14ac:dyDescent="0.25">
      <c r="A11">
        <v>20120831</v>
      </c>
      <c r="B11" t="s">
        <v>83</v>
      </c>
      <c r="C11">
        <v>9.0999999999999998E-2</v>
      </c>
      <c r="D11">
        <v>0</v>
      </c>
      <c r="E11">
        <v>19.899999999999999</v>
      </c>
      <c r="G11" t="s">
        <v>84</v>
      </c>
      <c r="H11">
        <v>0.55000000000000004</v>
      </c>
      <c r="I11">
        <v>0</v>
      </c>
      <c r="J11">
        <v>66.89</v>
      </c>
      <c r="L11" t="s">
        <v>85</v>
      </c>
      <c r="M11">
        <v>0.15</v>
      </c>
      <c r="N11">
        <v>0</v>
      </c>
      <c r="O11">
        <v>24.91</v>
      </c>
      <c r="Q11">
        <v>2.6259000000000001E-2</v>
      </c>
    </row>
    <row r="12" spans="1:17" x14ac:dyDescent="0.25">
      <c r="A12">
        <v>20120928</v>
      </c>
      <c r="B12" t="s">
        <v>83</v>
      </c>
      <c r="E12">
        <v>20.149999999999999</v>
      </c>
      <c r="G12" t="s">
        <v>84</v>
      </c>
      <c r="J12">
        <v>66.430000000000007</v>
      </c>
      <c r="L12" t="s">
        <v>85</v>
      </c>
      <c r="O12">
        <v>26.14</v>
      </c>
      <c r="Q12">
        <v>2.6535E-2</v>
      </c>
    </row>
    <row r="13" spans="1:17" x14ac:dyDescent="0.25">
      <c r="A13">
        <v>20121031</v>
      </c>
      <c r="B13" t="s">
        <v>83</v>
      </c>
      <c r="E13">
        <v>20.8</v>
      </c>
      <c r="G13" t="s">
        <v>84</v>
      </c>
      <c r="J13">
        <v>68.69</v>
      </c>
      <c r="L13" t="s">
        <v>85</v>
      </c>
      <c r="O13">
        <v>27.69</v>
      </c>
      <c r="Q13">
        <v>-1.4094000000000001E-2</v>
      </c>
    </row>
    <row r="14" spans="1:17" x14ac:dyDescent="0.25">
      <c r="A14">
        <v>20121130</v>
      </c>
      <c r="B14" t="s">
        <v>83</v>
      </c>
      <c r="C14">
        <v>9.0999999999999998E-2</v>
      </c>
      <c r="D14">
        <v>0</v>
      </c>
      <c r="E14">
        <v>22.37</v>
      </c>
      <c r="G14" t="s">
        <v>84</v>
      </c>
      <c r="H14">
        <v>0.55000000000000004</v>
      </c>
      <c r="I14">
        <v>0</v>
      </c>
      <c r="J14">
        <v>66.7</v>
      </c>
      <c r="L14" t="s">
        <v>85</v>
      </c>
      <c r="M14">
        <v>0.17</v>
      </c>
      <c r="N14">
        <v>0</v>
      </c>
      <c r="O14">
        <v>27.56</v>
      </c>
      <c r="Q14">
        <v>6.1900000000000002E-3</v>
      </c>
    </row>
    <row r="15" spans="1:17" x14ac:dyDescent="0.25">
      <c r="A15">
        <v>20121231</v>
      </c>
      <c r="B15" t="s">
        <v>83</v>
      </c>
      <c r="E15">
        <v>23.46</v>
      </c>
      <c r="G15" t="s">
        <v>84</v>
      </c>
      <c r="J15">
        <v>67.58</v>
      </c>
      <c r="L15" t="s">
        <v>85</v>
      </c>
      <c r="O15">
        <v>27.82</v>
      </c>
      <c r="Q15">
        <v>1.2518E-2</v>
      </c>
    </row>
    <row r="16" spans="1:17" x14ac:dyDescent="0.25">
      <c r="A16">
        <v>20130131</v>
      </c>
      <c r="B16" t="s">
        <v>83</v>
      </c>
      <c r="E16">
        <v>25.68</v>
      </c>
      <c r="G16" t="s">
        <v>84</v>
      </c>
      <c r="J16">
        <v>65.040000000000006</v>
      </c>
      <c r="L16" t="s">
        <v>85</v>
      </c>
      <c r="O16">
        <v>30.12</v>
      </c>
      <c r="Q16">
        <v>5.4098E-2</v>
      </c>
    </row>
    <row r="17" spans="1:17" x14ac:dyDescent="0.25">
      <c r="A17">
        <v>20130228</v>
      </c>
      <c r="B17" t="s">
        <v>83</v>
      </c>
      <c r="E17">
        <v>26.33</v>
      </c>
      <c r="G17" t="s">
        <v>84</v>
      </c>
      <c r="H17">
        <v>0.55000000000000004</v>
      </c>
      <c r="I17">
        <v>0</v>
      </c>
      <c r="J17">
        <v>65.680000000000007</v>
      </c>
      <c r="L17" t="s">
        <v>85</v>
      </c>
      <c r="M17">
        <v>0.17</v>
      </c>
      <c r="N17">
        <v>0</v>
      </c>
      <c r="O17">
        <v>29.41</v>
      </c>
      <c r="Q17">
        <v>8.3379999999999999E-3</v>
      </c>
    </row>
    <row r="18" spans="1:17" x14ac:dyDescent="0.25">
      <c r="A18">
        <v>20130328</v>
      </c>
      <c r="B18" t="s">
        <v>83</v>
      </c>
      <c r="C18">
        <v>0.1</v>
      </c>
      <c r="D18">
        <v>0</v>
      </c>
      <c r="E18">
        <v>28.43</v>
      </c>
      <c r="G18" t="s">
        <v>84</v>
      </c>
      <c r="J18">
        <v>70.150000000000006</v>
      </c>
      <c r="L18" t="s">
        <v>85</v>
      </c>
      <c r="O18">
        <v>31.38</v>
      </c>
      <c r="Q18">
        <v>3.5268000000000001E-2</v>
      </c>
    </row>
    <row r="19" spans="1:17" x14ac:dyDescent="0.25">
      <c r="A19">
        <v>20130430</v>
      </c>
      <c r="B19" t="s">
        <v>83</v>
      </c>
      <c r="E19">
        <v>27.6</v>
      </c>
      <c r="G19" t="s">
        <v>84</v>
      </c>
      <c r="J19">
        <v>75.739999999999995</v>
      </c>
      <c r="L19" t="s">
        <v>85</v>
      </c>
      <c r="O19">
        <v>30.51</v>
      </c>
      <c r="Q19">
        <v>1.4943E-2</v>
      </c>
    </row>
    <row r="20" spans="1:17" x14ac:dyDescent="0.25">
      <c r="A20">
        <v>20130531</v>
      </c>
      <c r="B20" t="s">
        <v>83</v>
      </c>
      <c r="C20">
        <v>0.1</v>
      </c>
      <c r="D20">
        <v>0</v>
      </c>
      <c r="E20">
        <v>30.15</v>
      </c>
      <c r="G20" t="s">
        <v>84</v>
      </c>
      <c r="H20">
        <v>0.61</v>
      </c>
      <c r="I20">
        <v>0</v>
      </c>
      <c r="J20">
        <v>82.39</v>
      </c>
      <c r="L20" t="s">
        <v>85</v>
      </c>
      <c r="M20">
        <v>0.2</v>
      </c>
      <c r="N20">
        <v>0</v>
      </c>
      <c r="O20">
        <v>29.82</v>
      </c>
      <c r="Q20">
        <v>1.9047000000000001E-2</v>
      </c>
    </row>
    <row r="21" spans="1:17" x14ac:dyDescent="0.25">
      <c r="A21">
        <v>20130628</v>
      </c>
      <c r="B21" t="s">
        <v>83</v>
      </c>
      <c r="E21">
        <v>29.41</v>
      </c>
      <c r="G21" t="s">
        <v>84</v>
      </c>
      <c r="J21">
        <v>82.8</v>
      </c>
      <c r="L21" t="s">
        <v>85</v>
      </c>
      <c r="O21">
        <v>28.49</v>
      </c>
      <c r="Q21">
        <v>-1.5036000000000001E-2</v>
      </c>
    </row>
    <row r="22" spans="1:17" x14ac:dyDescent="0.25">
      <c r="A22">
        <v>20130731</v>
      </c>
      <c r="B22" t="s">
        <v>83</v>
      </c>
      <c r="E22">
        <v>31.24</v>
      </c>
      <c r="G22" t="s">
        <v>84</v>
      </c>
      <c r="J22">
        <v>92.06</v>
      </c>
      <c r="L22" t="s">
        <v>85</v>
      </c>
      <c r="O22">
        <v>28.4</v>
      </c>
      <c r="Q22">
        <v>5.2685000000000003E-2</v>
      </c>
    </row>
    <row r="23" spans="1:17" x14ac:dyDescent="0.25">
      <c r="A23">
        <v>20130830</v>
      </c>
      <c r="B23" t="s">
        <v>83</v>
      </c>
      <c r="C23">
        <v>0.1</v>
      </c>
      <c r="D23">
        <v>0</v>
      </c>
      <c r="E23">
        <v>32.85</v>
      </c>
      <c r="G23" t="s">
        <v>84</v>
      </c>
      <c r="H23">
        <v>0.61</v>
      </c>
      <c r="I23">
        <v>0</v>
      </c>
      <c r="J23">
        <v>92.27</v>
      </c>
      <c r="L23" t="s">
        <v>85</v>
      </c>
      <c r="M23">
        <v>0.22</v>
      </c>
      <c r="N23">
        <v>0</v>
      </c>
      <c r="O23">
        <v>27.38</v>
      </c>
      <c r="Q23">
        <v>-2.5715999999999999E-2</v>
      </c>
    </row>
    <row r="24" spans="1:17" x14ac:dyDescent="0.25">
      <c r="A24">
        <v>20130930</v>
      </c>
      <c r="B24" t="s">
        <v>83</v>
      </c>
      <c r="E24">
        <v>35.950000000000003</v>
      </c>
      <c r="G24" t="s">
        <v>84</v>
      </c>
      <c r="J24">
        <v>95.26</v>
      </c>
      <c r="L24" t="s">
        <v>85</v>
      </c>
      <c r="O24">
        <v>28.63</v>
      </c>
      <c r="Q24">
        <v>3.7454000000000001E-2</v>
      </c>
    </row>
    <row r="25" spans="1:17" x14ac:dyDescent="0.25">
      <c r="A25">
        <v>20131031</v>
      </c>
      <c r="B25" t="s">
        <v>83</v>
      </c>
      <c r="E25">
        <v>39.729999999999997</v>
      </c>
      <c r="G25" t="s">
        <v>84</v>
      </c>
      <c r="J25">
        <v>107.51</v>
      </c>
      <c r="L25" t="s">
        <v>85</v>
      </c>
      <c r="M25">
        <v>0.22</v>
      </c>
      <c r="N25">
        <v>0</v>
      </c>
      <c r="O25">
        <v>30.414999999999999</v>
      </c>
      <c r="Q25">
        <v>3.9876000000000002E-2</v>
      </c>
    </row>
    <row r="26" spans="1:17" x14ac:dyDescent="0.25">
      <c r="A26">
        <v>20131129</v>
      </c>
      <c r="B26" t="s">
        <v>83</v>
      </c>
      <c r="C26">
        <v>0.1</v>
      </c>
      <c r="D26">
        <v>0</v>
      </c>
      <c r="E26">
        <v>40.82</v>
      </c>
      <c r="G26" t="s">
        <v>84</v>
      </c>
      <c r="H26">
        <v>0.61</v>
      </c>
      <c r="I26">
        <v>0</v>
      </c>
      <c r="J26">
        <v>112.68</v>
      </c>
      <c r="L26" t="s">
        <v>85</v>
      </c>
      <c r="O26">
        <v>30.13</v>
      </c>
      <c r="Q26">
        <v>2.495E-2</v>
      </c>
    </row>
    <row r="27" spans="1:17" x14ac:dyDescent="0.25">
      <c r="A27">
        <v>20131231</v>
      </c>
      <c r="B27" t="s">
        <v>83</v>
      </c>
      <c r="E27">
        <v>43.42</v>
      </c>
      <c r="G27" t="s">
        <v>84</v>
      </c>
      <c r="J27">
        <v>114.61</v>
      </c>
      <c r="L27" t="s">
        <v>85</v>
      </c>
      <c r="O27">
        <v>31.57</v>
      </c>
      <c r="Q27">
        <v>2.6120000000000001E-2</v>
      </c>
    </row>
    <row r="28" spans="1:17" x14ac:dyDescent="0.25">
      <c r="A28">
        <v>20140131</v>
      </c>
      <c r="B28" t="s">
        <v>83</v>
      </c>
      <c r="E28">
        <v>40.950000000000003</v>
      </c>
      <c r="G28" t="s">
        <v>84</v>
      </c>
      <c r="J28">
        <v>115.55</v>
      </c>
      <c r="L28" t="s">
        <v>85</v>
      </c>
      <c r="O28">
        <v>29.88</v>
      </c>
      <c r="Q28">
        <v>-2.9960000000000001E-2</v>
      </c>
    </row>
    <row r="29" spans="1:17" x14ac:dyDescent="0.25">
      <c r="A29">
        <v>20140228</v>
      </c>
      <c r="B29" t="s">
        <v>83</v>
      </c>
      <c r="E29">
        <v>43.9</v>
      </c>
      <c r="G29" t="s">
        <v>84</v>
      </c>
      <c r="H29">
        <v>0.61</v>
      </c>
      <c r="I29">
        <v>0</v>
      </c>
      <c r="J29">
        <v>121.03</v>
      </c>
      <c r="L29" t="s">
        <v>85</v>
      </c>
      <c r="M29">
        <v>0.22</v>
      </c>
      <c r="N29">
        <v>0</v>
      </c>
      <c r="O29">
        <v>29.51</v>
      </c>
      <c r="Q29">
        <v>4.6158999999999999E-2</v>
      </c>
    </row>
    <row r="30" spans="1:17" x14ac:dyDescent="0.25">
      <c r="A30">
        <v>20140331</v>
      </c>
      <c r="B30" t="s">
        <v>83</v>
      </c>
      <c r="C30">
        <v>0.11</v>
      </c>
      <c r="D30">
        <v>0</v>
      </c>
      <c r="E30">
        <v>42.76</v>
      </c>
      <c r="G30" t="s">
        <v>84</v>
      </c>
      <c r="J30">
        <v>123.38</v>
      </c>
      <c r="L30" t="s">
        <v>85</v>
      </c>
      <c r="O30">
        <v>29.35</v>
      </c>
      <c r="Q30">
        <v>4.4970000000000001E-3</v>
      </c>
    </row>
    <row r="31" spans="1:17" x14ac:dyDescent="0.25">
      <c r="A31">
        <v>20140430</v>
      </c>
      <c r="B31" t="s">
        <v>83</v>
      </c>
      <c r="E31">
        <v>43.14</v>
      </c>
      <c r="G31" t="s">
        <v>84</v>
      </c>
      <c r="J31">
        <v>121.51</v>
      </c>
      <c r="L31" t="s">
        <v>85</v>
      </c>
      <c r="O31">
        <v>29.85</v>
      </c>
      <c r="Q31">
        <v>1.6739999999999999E-3</v>
      </c>
    </row>
    <row r="32" spans="1:17" x14ac:dyDescent="0.25">
      <c r="A32">
        <v>20140530</v>
      </c>
      <c r="B32" t="s">
        <v>83</v>
      </c>
      <c r="E32">
        <v>43.68</v>
      </c>
      <c r="G32" t="s">
        <v>84</v>
      </c>
      <c r="H32">
        <v>0.7</v>
      </c>
      <c r="I32">
        <v>0</v>
      </c>
      <c r="J32">
        <v>121.55</v>
      </c>
      <c r="L32" t="s">
        <v>85</v>
      </c>
      <c r="M32">
        <v>0.22</v>
      </c>
      <c r="N32">
        <v>0</v>
      </c>
      <c r="O32">
        <v>31.42</v>
      </c>
      <c r="Q32">
        <v>2.0216000000000001E-2</v>
      </c>
    </row>
    <row r="33" spans="1:17" x14ac:dyDescent="0.25">
      <c r="A33">
        <v>20140630</v>
      </c>
      <c r="B33" t="s">
        <v>83</v>
      </c>
      <c r="C33">
        <v>0.11</v>
      </c>
      <c r="D33">
        <v>0</v>
      </c>
      <c r="E33">
        <v>48.1</v>
      </c>
      <c r="G33" t="s">
        <v>84</v>
      </c>
      <c r="J33">
        <v>119.63</v>
      </c>
      <c r="L33" t="s">
        <v>85</v>
      </c>
      <c r="O33">
        <v>33.090000000000003</v>
      </c>
      <c r="Q33">
        <v>2.7944E-2</v>
      </c>
    </row>
    <row r="34" spans="1:17" x14ac:dyDescent="0.25">
      <c r="A34">
        <v>20140731</v>
      </c>
      <c r="B34" t="s">
        <v>83</v>
      </c>
      <c r="E34">
        <v>45.97</v>
      </c>
      <c r="G34" t="s">
        <v>84</v>
      </c>
      <c r="J34">
        <v>123.27</v>
      </c>
      <c r="L34" t="s">
        <v>85</v>
      </c>
      <c r="O34">
        <v>31.32</v>
      </c>
      <c r="Q34">
        <v>-2.0524000000000001E-2</v>
      </c>
    </row>
    <row r="35" spans="1:17" x14ac:dyDescent="0.25">
      <c r="A35">
        <v>20140829</v>
      </c>
      <c r="B35" t="s">
        <v>83</v>
      </c>
      <c r="E35">
        <v>47.86</v>
      </c>
      <c r="G35" t="s">
        <v>84</v>
      </c>
      <c r="H35">
        <v>0.7</v>
      </c>
      <c r="I35">
        <v>0</v>
      </c>
      <c r="J35">
        <v>127.22</v>
      </c>
      <c r="L35" t="s">
        <v>85</v>
      </c>
      <c r="M35">
        <v>0.28999999999999998</v>
      </c>
      <c r="N35">
        <v>0</v>
      </c>
      <c r="O35">
        <v>33.950000000000003</v>
      </c>
      <c r="Q35">
        <v>4.0185999999999999E-2</v>
      </c>
    </row>
    <row r="36" spans="1:17" x14ac:dyDescent="0.25">
      <c r="A36">
        <v>20140930</v>
      </c>
      <c r="B36" t="s">
        <v>83</v>
      </c>
      <c r="C36">
        <v>0.11</v>
      </c>
      <c r="D36">
        <v>0</v>
      </c>
      <c r="E36">
        <v>44.94</v>
      </c>
      <c r="G36" t="s">
        <v>84</v>
      </c>
      <c r="J36">
        <v>131.75998999999999</v>
      </c>
      <c r="L36" t="s">
        <v>85</v>
      </c>
      <c r="O36">
        <v>31.86</v>
      </c>
      <c r="Q36">
        <v>-2.5118999999999999E-2</v>
      </c>
    </row>
    <row r="37" spans="1:17" x14ac:dyDescent="0.25">
      <c r="A37">
        <v>20141031</v>
      </c>
      <c r="B37" t="s">
        <v>83</v>
      </c>
      <c r="E37">
        <v>45.06</v>
      </c>
      <c r="G37" t="s">
        <v>84</v>
      </c>
      <c r="J37">
        <v>137.96001000000001</v>
      </c>
      <c r="L37" t="s">
        <v>85</v>
      </c>
      <c r="M37">
        <v>0.28999999999999998</v>
      </c>
      <c r="N37">
        <v>0</v>
      </c>
      <c r="O37">
        <v>33.86</v>
      </c>
      <c r="Q37">
        <v>2.1187999999999999E-2</v>
      </c>
    </row>
    <row r="38" spans="1:17" x14ac:dyDescent="0.25">
      <c r="A38">
        <v>20141128</v>
      </c>
      <c r="B38" t="s">
        <v>83</v>
      </c>
      <c r="E38">
        <v>41.4</v>
      </c>
      <c r="G38" t="s">
        <v>84</v>
      </c>
      <c r="H38">
        <v>0.7</v>
      </c>
      <c r="I38">
        <v>0</v>
      </c>
      <c r="J38">
        <v>140.92999</v>
      </c>
      <c r="L38" t="s">
        <v>85</v>
      </c>
      <c r="O38">
        <v>35.31</v>
      </c>
      <c r="Q38">
        <v>2.1149000000000001E-2</v>
      </c>
    </row>
    <row r="39" spans="1:17" x14ac:dyDescent="0.25">
      <c r="A39">
        <v>20141231</v>
      </c>
      <c r="B39" t="s">
        <v>83</v>
      </c>
      <c r="C39">
        <v>0.11</v>
      </c>
      <c r="D39">
        <v>0</v>
      </c>
      <c r="E39">
        <v>40.46</v>
      </c>
      <c r="G39" t="s">
        <v>84</v>
      </c>
      <c r="J39">
        <v>147.38999999999999</v>
      </c>
      <c r="L39" t="s">
        <v>85</v>
      </c>
      <c r="O39">
        <v>35.89</v>
      </c>
      <c r="Q39">
        <v>-3.62E-3</v>
      </c>
    </row>
    <row r="40" spans="1:17" x14ac:dyDescent="0.25">
      <c r="A40">
        <v>20150130</v>
      </c>
      <c r="B40" t="s">
        <v>83</v>
      </c>
      <c r="E40">
        <v>35.81</v>
      </c>
      <c r="G40" t="s">
        <v>84</v>
      </c>
      <c r="J40">
        <v>156.94999999999999</v>
      </c>
      <c r="L40" t="s">
        <v>85</v>
      </c>
      <c r="O40">
        <v>35.85</v>
      </c>
      <c r="Q40">
        <v>-2.7158000000000002E-2</v>
      </c>
    </row>
    <row r="41" spans="1:17" x14ac:dyDescent="0.25">
      <c r="A41">
        <v>20150227</v>
      </c>
      <c r="B41" t="s">
        <v>83</v>
      </c>
      <c r="E41">
        <v>41.07</v>
      </c>
      <c r="G41" t="s">
        <v>84</v>
      </c>
      <c r="H41">
        <v>0.7</v>
      </c>
      <c r="I41">
        <v>0</v>
      </c>
      <c r="J41">
        <v>165.71001000000001</v>
      </c>
      <c r="L41" t="s">
        <v>85</v>
      </c>
      <c r="M41">
        <v>0.28999999999999998</v>
      </c>
      <c r="N41">
        <v>0</v>
      </c>
      <c r="O41">
        <v>35.11</v>
      </c>
      <c r="Q41">
        <v>5.5957E-2</v>
      </c>
    </row>
    <row r="42" spans="1:17" x14ac:dyDescent="0.25">
      <c r="A42">
        <v>20150331</v>
      </c>
      <c r="B42" t="s">
        <v>83</v>
      </c>
      <c r="C42">
        <v>0.1183</v>
      </c>
      <c r="D42">
        <v>0</v>
      </c>
      <c r="E42">
        <v>39.909999999999997</v>
      </c>
      <c r="G42" t="s">
        <v>84</v>
      </c>
      <c r="J42">
        <v>160.96001000000001</v>
      </c>
      <c r="L42" t="s">
        <v>85</v>
      </c>
      <c r="O42">
        <v>33.15</v>
      </c>
      <c r="Q42">
        <v>-1.0441000000000001E-2</v>
      </c>
    </row>
    <row r="43" spans="1:17" x14ac:dyDescent="0.25">
      <c r="A43">
        <v>20150430</v>
      </c>
      <c r="B43" t="s">
        <v>83</v>
      </c>
      <c r="E43">
        <v>39.65</v>
      </c>
      <c r="G43" t="s">
        <v>84</v>
      </c>
      <c r="J43">
        <v>154.03998999999999</v>
      </c>
      <c r="L43" t="s">
        <v>85</v>
      </c>
      <c r="O43">
        <v>31.51</v>
      </c>
      <c r="Q43">
        <v>8.7049999999999992E-3</v>
      </c>
    </row>
    <row r="44" spans="1:17" x14ac:dyDescent="0.25">
      <c r="A44">
        <v>20150529</v>
      </c>
      <c r="B44" t="s">
        <v>83</v>
      </c>
      <c r="E44">
        <v>42.68</v>
      </c>
      <c r="G44" t="s">
        <v>84</v>
      </c>
      <c r="H44">
        <v>0.8</v>
      </c>
      <c r="I44">
        <v>0</v>
      </c>
      <c r="J44">
        <v>159.17999</v>
      </c>
      <c r="L44" t="s">
        <v>85</v>
      </c>
      <c r="O44">
        <v>32.56</v>
      </c>
      <c r="Q44">
        <v>1.0331E-2</v>
      </c>
    </row>
    <row r="45" spans="1:17" x14ac:dyDescent="0.25">
      <c r="A45">
        <v>20150630</v>
      </c>
      <c r="B45" t="s">
        <v>83</v>
      </c>
      <c r="C45">
        <v>0.1183</v>
      </c>
      <c r="D45">
        <v>0</v>
      </c>
      <c r="E45">
        <v>41.84</v>
      </c>
      <c r="G45" t="s">
        <v>84</v>
      </c>
      <c r="J45">
        <v>158.63</v>
      </c>
      <c r="L45" t="s">
        <v>85</v>
      </c>
      <c r="M45">
        <v>0.28999999999999998</v>
      </c>
      <c r="N45">
        <v>0</v>
      </c>
      <c r="O45">
        <v>31.5</v>
      </c>
      <c r="Q45">
        <v>-1.9255000000000001E-2</v>
      </c>
    </row>
    <row r="46" spans="1:17" x14ac:dyDescent="0.25">
      <c r="A46">
        <v>20150731</v>
      </c>
      <c r="B46" t="s">
        <v>83</v>
      </c>
      <c r="E46">
        <v>38</v>
      </c>
      <c r="G46" t="s">
        <v>84</v>
      </c>
      <c r="J46">
        <v>173.00998999999999</v>
      </c>
      <c r="L46" t="s">
        <v>85</v>
      </c>
      <c r="O46">
        <v>30.69</v>
      </c>
      <c r="Q46">
        <v>1.2111E-2</v>
      </c>
    </row>
    <row r="47" spans="1:17" x14ac:dyDescent="0.25">
      <c r="A47">
        <v>20150831</v>
      </c>
      <c r="B47" t="s">
        <v>83</v>
      </c>
      <c r="E47">
        <v>37.409999999999997</v>
      </c>
      <c r="G47" t="s">
        <v>84</v>
      </c>
      <c r="H47">
        <v>0.8</v>
      </c>
      <c r="I47">
        <v>0</v>
      </c>
      <c r="J47">
        <v>163.74001000000001</v>
      </c>
      <c r="L47" t="s">
        <v>85</v>
      </c>
      <c r="O47">
        <v>27.94</v>
      </c>
      <c r="Q47">
        <v>-5.9998000000000003E-2</v>
      </c>
    </row>
    <row r="48" spans="1:17" x14ac:dyDescent="0.25">
      <c r="A48">
        <v>20150930</v>
      </c>
      <c r="B48" t="s">
        <v>83</v>
      </c>
      <c r="C48">
        <v>0.1183</v>
      </c>
      <c r="D48">
        <v>0</v>
      </c>
      <c r="E48">
        <v>33.43</v>
      </c>
      <c r="G48" t="s">
        <v>84</v>
      </c>
      <c r="J48">
        <v>165.95</v>
      </c>
      <c r="L48" t="s">
        <v>85</v>
      </c>
      <c r="M48">
        <v>0.31</v>
      </c>
      <c r="N48">
        <v>0</v>
      </c>
      <c r="O48">
        <v>27.34</v>
      </c>
      <c r="Q48">
        <v>-3.3731999999999998E-2</v>
      </c>
    </row>
    <row r="49" spans="1:17" x14ac:dyDescent="0.25">
      <c r="A49">
        <v>20151030</v>
      </c>
      <c r="B49" t="s">
        <v>83</v>
      </c>
      <c r="E49">
        <v>39.58</v>
      </c>
      <c r="G49" t="s">
        <v>84</v>
      </c>
      <c r="J49">
        <v>187.75</v>
      </c>
      <c r="L49" t="s">
        <v>85</v>
      </c>
      <c r="M49">
        <v>0.31</v>
      </c>
      <c r="N49">
        <v>0</v>
      </c>
      <c r="O49">
        <v>29.33</v>
      </c>
      <c r="Q49">
        <v>7.3953000000000005E-2</v>
      </c>
    </row>
    <row r="50" spans="1:17" x14ac:dyDescent="0.25">
      <c r="A50">
        <v>20151130</v>
      </c>
      <c r="B50" t="s">
        <v>83</v>
      </c>
      <c r="E50">
        <v>39.71</v>
      </c>
      <c r="G50" t="s">
        <v>84</v>
      </c>
      <c r="H50">
        <v>0.8</v>
      </c>
      <c r="I50">
        <v>0</v>
      </c>
      <c r="J50">
        <v>186.36</v>
      </c>
      <c r="L50" t="s">
        <v>85</v>
      </c>
      <c r="O50">
        <v>32.17</v>
      </c>
      <c r="Q50">
        <v>2.4429999999999999E-3</v>
      </c>
    </row>
    <row r="51" spans="1:17" x14ac:dyDescent="0.25">
      <c r="A51">
        <v>20151231</v>
      </c>
      <c r="B51" t="s">
        <v>83</v>
      </c>
      <c r="C51">
        <v>0.1183</v>
      </c>
      <c r="D51">
        <v>0</v>
      </c>
      <c r="E51">
        <v>36.32</v>
      </c>
      <c r="G51" t="s">
        <v>84</v>
      </c>
      <c r="J51">
        <v>188.81</v>
      </c>
      <c r="L51" t="s">
        <v>85</v>
      </c>
      <c r="O51">
        <v>29.98</v>
      </c>
      <c r="Q51">
        <v>-2.2269000000000001E-2</v>
      </c>
    </row>
    <row r="52" spans="1:17" x14ac:dyDescent="0.25">
      <c r="A52">
        <v>20160129</v>
      </c>
      <c r="B52" t="s">
        <v>83</v>
      </c>
      <c r="E52">
        <v>32.450000000000003</v>
      </c>
      <c r="G52" t="s">
        <v>84</v>
      </c>
      <c r="J52">
        <v>185.06</v>
      </c>
      <c r="L52" t="s">
        <v>85</v>
      </c>
      <c r="O52">
        <v>25.61</v>
      </c>
      <c r="Q52">
        <v>-5.7030999999999998E-2</v>
      </c>
    </row>
    <row r="53" spans="1:17" x14ac:dyDescent="0.25">
      <c r="A53">
        <v>20160229</v>
      </c>
      <c r="B53" t="s">
        <v>83</v>
      </c>
      <c r="E53">
        <v>35.26</v>
      </c>
      <c r="G53" t="s">
        <v>84</v>
      </c>
      <c r="H53">
        <v>0.8</v>
      </c>
      <c r="I53">
        <v>0</v>
      </c>
      <c r="J53">
        <v>192.22</v>
      </c>
      <c r="L53" t="s">
        <v>85</v>
      </c>
      <c r="O53">
        <v>25.98</v>
      </c>
      <c r="Q53">
        <v>6.9200000000000002E-4</v>
      </c>
    </row>
    <row r="54" spans="1:17" x14ac:dyDescent="0.25">
      <c r="A54">
        <v>20160331</v>
      </c>
      <c r="B54" t="s">
        <v>83</v>
      </c>
      <c r="C54">
        <v>0.124</v>
      </c>
      <c r="D54">
        <v>0</v>
      </c>
      <c r="E54">
        <v>36.89</v>
      </c>
      <c r="G54" t="s">
        <v>84</v>
      </c>
      <c r="J54">
        <v>197.89999</v>
      </c>
      <c r="L54" t="s">
        <v>85</v>
      </c>
      <c r="M54">
        <v>0.31</v>
      </c>
      <c r="N54">
        <v>0</v>
      </c>
      <c r="O54">
        <v>30.98</v>
      </c>
      <c r="Q54">
        <v>7.0455000000000004E-2</v>
      </c>
    </row>
    <row r="55" spans="1:17" x14ac:dyDescent="0.25">
      <c r="A55">
        <v>20160429</v>
      </c>
      <c r="B55" t="s">
        <v>83</v>
      </c>
      <c r="E55">
        <v>38.369999999999997</v>
      </c>
      <c r="G55" t="s">
        <v>84</v>
      </c>
      <c r="J55">
        <v>206.25998999999999</v>
      </c>
      <c r="L55" t="s">
        <v>85</v>
      </c>
      <c r="O55">
        <v>32.119999999999997</v>
      </c>
      <c r="Q55">
        <v>1.1806000000000001E-2</v>
      </c>
    </row>
    <row r="56" spans="1:17" x14ac:dyDescent="0.25">
      <c r="A56">
        <v>20160531</v>
      </c>
      <c r="B56" t="s">
        <v>83</v>
      </c>
      <c r="E56">
        <v>35.51</v>
      </c>
      <c r="G56" t="s">
        <v>84</v>
      </c>
      <c r="J56">
        <v>212.67</v>
      </c>
      <c r="L56" t="s">
        <v>85</v>
      </c>
      <c r="O56">
        <v>31.5</v>
      </c>
      <c r="Q56">
        <v>1.4300999999999999E-2</v>
      </c>
    </row>
    <row r="57" spans="1:17" x14ac:dyDescent="0.25">
      <c r="A57">
        <v>20160630</v>
      </c>
      <c r="B57" t="s">
        <v>83</v>
      </c>
      <c r="C57">
        <v>0.124</v>
      </c>
      <c r="D57">
        <v>0</v>
      </c>
      <c r="E57">
        <v>31.98</v>
      </c>
      <c r="G57" t="s">
        <v>84</v>
      </c>
      <c r="H57">
        <v>0.9</v>
      </c>
      <c r="I57">
        <v>0</v>
      </c>
      <c r="J57">
        <v>222.28</v>
      </c>
      <c r="L57" t="s">
        <v>85</v>
      </c>
      <c r="M57">
        <v>0.31</v>
      </c>
      <c r="N57">
        <v>0</v>
      </c>
      <c r="O57">
        <v>29.77</v>
      </c>
      <c r="Q57">
        <v>3.1280000000000001E-3</v>
      </c>
    </row>
    <row r="58" spans="1:17" x14ac:dyDescent="0.25">
      <c r="A58">
        <v>20160729</v>
      </c>
      <c r="B58" t="s">
        <v>83</v>
      </c>
      <c r="E58">
        <v>31.71</v>
      </c>
      <c r="G58" t="s">
        <v>84</v>
      </c>
      <c r="J58">
        <v>216.63</v>
      </c>
      <c r="L58" t="s">
        <v>85</v>
      </c>
      <c r="O58">
        <v>32.72</v>
      </c>
      <c r="Q58">
        <v>3.8740999999999998E-2</v>
      </c>
    </row>
    <row r="59" spans="1:17" x14ac:dyDescent="0.25">
      <c r="A59">
        <v>20160831</v>
      </c>
      <c r="B59" t="s">
        <v>83</v>
      </c>
      <c r="E59">
        <v>36.18</v>
      </c>
      <c r="G59" t="s">
        <v>84</v>
      </c>
      <c r="H59">
        <v>0.9</v>
      </c>
      <c r="I59">
        <v>0</v>
      </c>
      <c r="J59">
        <v>212.07001</v>
      </c>
      <c r="L59" t="s">
        <v>85</v>
      </c>
      <c r="O59">
        <v>31.85</v>
      </c>
      <c r="Q59">
        <v>2.7829999999999999E-3</v>
      </c>
    </row>
    <row r="60" spans="1:17" x14ac:dyDescent="0.25">
      <c r="A60">
        <v>20160930</v>
      </c>
      <c r="B60" t="s">
        <v>83</v>
      </c>
      <c r="C60">
        <v>0.124</v>
      </c>
      <c r="D60">
        <v>0</v>
      </c>
      <c r="E60">
        <v>35.840000000000003</v>
      </c>
      <c r="G60" t="s">
        <v>84</v>
      </c>
      <c r="J60">
        <v>213.95</v>
      </c>
      <c r="L60" t="s">
        <v>85</v>
      </c>
      <c r="M60">
        <v>0.31</v>
      </c>
      <c r="N60">
        <v>0</v>
      </c>
      <c r="O60">
        <v>31.94</v>
      </c>
      <c r="Q60">
        <v>3.0140000000000002E-3</v>
      </c>
    </row>
    <row r="61" spans="1:17" x14ac:dyDescent="0.25">
      <c r="A61">
        <v>20161031</v>
      </c>
      <c r="B61" t="s">
        <v>83</v>
      </c>
      <c r="E61">
        <v>35.22</v>
      </c>
      <c r="G61" t="s">
        <v>84</v>
      </c>
      <c r="J61">
        <v>229</v>
      </c>
      <c r="L61" t="s">
        <v>85</v>
      </c>
      <c r="M61">
        <v>0.31</v>
      </c>
      <c r="N61">
        <v>0</v>
      </c>
      <c r="O61">
        <v>29.93</v>
      </c>
      <c r="Q61">
        <v>-2.1582E-2</v>
      </c>
    </row>
    <row r="62" spans="1:17" x14ac:dyDescent="0.25">
      <c r="A62">
        <v>20161130</v>
      </c>
      <c r="B62" t="s">
        <v>83</v>
      </c>
      <c r="E62">
        <v>40.369999999999997</v>
      </c>
      <c r="G62" t="s">
        <v>84</v>
      </c>
      <c r="J62">
        <v>249.64999</v>
      </c>
      <c r="L62" t="s">
        <v>85</v>
      </c>
      <c r="O62">
        <v>30.83</v>
      </c>
      <c r="Q62">
        <v>4.0420999999999999E-2</v>
      </c>
    </row>
    <row r="63" spans="1:17" x14ac:dyDescent="0.25">
      <c r="A63">
        <v>20161230</v>
      </c>
      <c r="B63" t="s">
        <v>83</v>
      </c>
      <c r="C63">
        <v>0.124</v>
      </c>
      <c r="D63">
        <v>0</v>
      </c>
      <c r="E63">
        <v>38.57</v>
      </c>
      <c r="G63" t="s">
        <v>84</v>
      </c>
      <c r="H63">
        <v>0.9</v>
      </c>
      <c r="I63">
        <v>0</v>
      </c>
      <c r="J63">
        <v>232.58</v>
      </c>
      <c r="L63" t="s">
        <v>85</v>
      </c>
      <c r="O63">
        <v>30.09</v>
      </c>
      <c r="Q63">
        <v>1.8776999999999999E-2</v>
      </c>
    </row>
    <row r="64" spans="1:17" x14ac:dyDescent="0.25">
      <c r="A64">
        <v>20170131</v>
      </c>
      <c r="B64" t="s">
        <v>83</v>
      </c>
      <c r="E64">
        <v>40.869999999999997</v>
      </c>
      <c r="G64" t="s">
        <v>84</v>
      </c>
      <c r="J64">
        <v>229.08</v>
      </c>
      <c r="L64" t="s">
        <v>85</v>
      </c>
      <c r="O64">
        <v>31.33</v>
      </c>
      <c r="Q64">
        <v>2.2169999999999999E-2</v>
      </c>
    </row>
    <row r="65" spans="1:17" x14ac:dyDescent="0.25">
      <c r="A65">
        <v>20170228</v>
      </c>
      <c r="B65" t="s">
        <v>83</v>
      </c>
      <c r="E65">
        <v>40.97</v>
      </c>
      <c r="G65" t="s">
        <v>84</v>
      </c>
      <c r="J65">
        <v>247.09</v>
      </c>
      <c r="L65" t="s">
        <v>85</v>
      </c>
      <c r="O65">
        <v>33.72</v>
      </c>
      <c r="Q65">
        <v>3.2639000000000001E-2</v>
      </c>
    </row>
    <row r="66" spans="1:17" x14ac:dyDescent="0.25">
      <c r="A66">
        <v>20170331</v>
      </c>
      <c r="B66" t="s">
        <v>83</v>
      </c>
      <c r="C66">
        <v>0.128</v>
      </c>
      <c r="D66">
        <v>0</v>
      </c>
      <c r="E66">
        <v>41.02</v>
      </c>
      <c r="G66" t="s">
        <v>84</v>
      </c>
      <c r="H66">
        <v>0.9</v>
      </c>
      <c r="I66">
        <v>0</v>
      </c>
      <c r="J66">
        <v>237.84</v>
      </c>
      <c r="L66" t="s">
        <v>85</v>
      </c>
      <c r="M66">
        <v>0.31</v>
      </c>
      <c r="N66">
        <v>0</v>
      </c>
      <c r="O66">
        <v>33.979999999999997</v>
      </c>
      <c r="Q66">
        <v>2.0890000000000001E-3</v>
      </c>
    </row>
    <row r="67" spans="1:17" x14ac:dyDescent="0.25">
      <c r="A67">
        <v>20170428</v>
      </c>
      <c r="B67" t="s">
        <v>83</v>
      </c>
      <c r="E67">
        <v>42.13</v>
      </c>
      <c r="G67" t="s">
        <v>84</v>
      </c>
      <c r="J67">
        <v>245.96001000000001</v>
      </c>
      <c r="L67" t="s">
        <v>85</v>
      </c>
      <c r="O67">
        <v>33.869999999999997</v>
      </c>
      <c r="Q67">
        <v>9.613E-3</v>
      </c>
    </row>
    <row r="68" spans="1:17" x14ac:dyDescent="0.25">
      <c r="A68">
        <v>20170531</v>
      </c>
      <c r="B68" t="s">
        <v>83</v>
      </c>
      <c r="E68">
        <v>38.01</v>
      </c>
      <c r="G68" t="s">
        <v>84</v>
      </c>
      <c r="J68">
        <v>259.22000000000003</v>
      </c>
      <c r="L68" t="s">
        <v>85</v>
      </c>
      <c r="O68">
        <v>32.96</v>
      </c>
      <c r="Q68">
        <v>9.3329999999999993E-3</v>
      </c>
    </row>
    <row r="69" spans="1:17" x14ac:dyDescent="0.25">
      <c r="A69">
        <v>20170630</v>
      </c>
      <c r="B69" t="s">
        <v>83</v>
      </c>
      <c r="C69">
        <v>0.128</v>
      </c>
      <c r="D69">
        <v>0</v>
      </c>
      <c r="E69">
        <v>40.18</v>
      </c>
      <c r="G69" t="s">
        <v>84</v>
      </c>
      <c r="H69">
        <v>1</v>
      </c>
      <c r="I69">
        <v>0</v>
      </c>
      <c r="J69">
        <v>256.70999</v>
      </c>
      <c r="L69" t="s">
        <v>85</v>
      </c>
      <c r="M69">
        <v>0.31</v>
      </c>
      <c r="N69">
        <v>0</v>
      </c>
      <c r="O69">
        <v>33.5</v>
      </c>
      <c r="Q69">
        <v>9.4599999999999997E-3</v>
      </c>
    </row>
    <row r="70" spans="1:17" x14ac:dyDescent="0.25">
      <c r="A70">
        <v>20170731</v>
      </c>
      <c r="B70" t="s">
        <v>83</v>
      </c>
      <c r="E70">
        <v>41</v>
      </c>
      <c r="G70" t="s">
        <v>84</v>
      </c>
      <c r="J70">
        <v>263.13</v>
      </c>
      <c r="L70" t="s">
        <v>85</v>
      </c>
      <c r="O70">
        <v>33.020000000000003</v>
      </c>
      <c r="Q70">
        <v>2.0313000000000001E-2</v>
      </c>
    </row>
    <row r="71" spans="1:17" x14ac:dyDescent="0.25">
      <c r="A71">
        <v>20170831</v>
      </c>
      <c r="B71" t="s">
        <v>83</v>
      </c>
      <c r="E71">
        <v>40.36</v>
      </c>
      <c r="G71" t="s">
        <v>84</v>
      </c>
      <c r="H71">
        <v>1</v>
      </c>
      <c r="I71">
        <v>0</v>
      </c>
      <c r="J71">
        <v>272.20999</v>
      </c>
      <c r="L71" t="s">
        <v>85</v>
      </c>
      <c r="O71">
        <v>32.61</v>
      </c>
      <c r="Q71">
        <v>1.596E-3</v>
      </c>
    </row>
    <row r="72" spans="1:17" x14ac:dyDescent="0.25">
      <c r="A72">
        <v>20170929</v>
      </c>
      <c r="B72" t="s">
        <v>83</v>
      </c>
      <c r="C72">
        <v>0.128</v>
      </c>
      <c r="D72">
        <v>0</v>
      </c>
      <c r="E72">
        <v>44.27</v>
      </c>
      <c r="G72" t="s">
        <v>84</v>
      </c>
      <c r="J72">
        <v>287.72000000000003</v>
      </c>
      <c r="L72" t="s">
        <v>85</v>
      </c>
      <c r="M72">
        <v>0.31</v>
      </c>
      <c r="N72">
        <v>0</v>
      </c>
      <c r="O72">
        <v>34.03</v>
      </c>
      <c r="Q72">
        <v>2.3705E-2</v>
      </c>
    </row>
    <row r="73" spans="1:17" x14ac:dyDescent="0.25">
      <c r="A73">
        <v>20171031</v>
      </c>
      <c r="B73" t="s">
        <v>83</v>
      </c>
      <c r="E73">
        <v>46.64</v>
      </c>
      <c r="G73" t="s">
        <v>84</v>
      </c>
      <c r="J73">
        <v>295.52999999999997</v>
      </c>
      <c r="L73" t="s">
        <v>85</v>
      </c>
      <c r="O73">
        <v>35.909999999999997</v>
      </c>
      <c r="Q73">
        <v>1.9262000000000001E-2</v>
      </c>
    </row>
    <row r="74" spans="1:17" x14ac:dyDescent="0.25">
      <c r="A74">
        <v>20171130</v>
      </c>
      <c r="B74" t="s">
        <v>83</v>
      </c>
      <c r="E74">
        <v>54.2</v>
      </c>
      <c r="G74" t="s">
        <v>84</v>
      </c>
      <c r="J74">
        <v>307.39999</v>
      </c>
      <c r="L74" t="s">
        <v>85</v>
      </c>
      <c r="M74">
        <v>0.32</v>
      </c>
      <c r="N74">
        <v>0</v>
      </c>
      <c r="O74">
        <v>35.380000000000003</v>
      </c>
      <c r="Q74">
        <v>2.7279999999999999E-2</v>
      </c>
    </row>
    <row r="75" spans="1:17" x14ac:dyDescent="0.25">
      <c r="A75">
        <v>20171229</v>
      </c>
      <c r="B75" t="s">
        <v>83</v>
      </c>
      <c r="C75">
        <v>0.128</v>
      </c>
      <c r="D75">
        <v>0</v>
      </c>
      <c r="E75">
        <v>53.37</v>
      </c>
      <c r="G75" t="s">
        <v>84</v>
      </c>
      <c r="H75">
        <v>1</v>
      </c>
      <c r="I75">
        <v>0</v>
      </c>
      <c r="J75">
        <v>306.91000000000003</v>
      </c>
      <c r="L75" t="s">
        <v>85</v>
      </c>
      <c r="O75">
        <v>35.26</v>
      </c>
      <c r="Q75">
        <v>1.2166E-2</v>
      </c>
    </row>
    <row r="76" spans="1:17" x14ac:dyDescent="0.25">
      <c r="A76">
        <v>20180131</v>
      </c>
      <c r="B76" t="s">
        <v>83</v>
      </c>
      <c r="E76">
        <v>56</v>
      </c>
      <c r="G76" t="s">
        <v>84</v>
      </c>
      <c r="J76">
        <v>340.53</v>
      </c>
      <c r="L76" t="s">
        <v>85</v>
      </c>
      <c r="O76">
        <v>37.54</v>
      </c>
      <c r="Q76">
        <v>5.0594E-2</v>
      </c>
    </row>
    <row r="77" spans="1:17" x14ac:dyDescent="0.25">
      <c r="A77">
        <v>20180228</v>
      </c>
      <c r="B77" t="s">
        <v>83</v>
      </c>
      <c r="E77">
        <v>50.18</v>
      </c>
      <c r="G77" t="s">
        <v>84</v>
      </c>
      <c r="J77">
        <v>350.04001</v>
      </c>
      <c r="L77" t="s">
        <v>85</v>
      </c>
      <c r="O77">
        <v>35.03</v>
      </c>
      <c r="Q77">
        <v>-3.9438000000000001E-2</v>
      </c>
    </row>
    <row r="78" spans="1:17" x14ac:dyDescent="0.25">
      <c r="A78">
        <v>20180329</v>
      </c>
      <c r="B78" t="s">
        <v>83</v>
      </c>
      <c r="C78">
        <v>0.13400000000000001</v>
      </c>
      <c r="D78">
        <v>0</v>
      </c>
      <c r="E78">
        <v>48.98</v>
      </c>
      <c r="G78" t="s">
        <v>84</v>
      </c>
      <c r="H78">
        <v>1.1000000000000001</v>
      </c>
      <c r="I78">
        <v>0</v>
      </c>
      <c r="J78">
        <v>349.12</v>
      </c>
      <c r="L78" t="s">
        <v>85</v>
      </c>
      <c r="M78">
        <v>0.32</v>
      </c>
      <c r="N78">
        <v>0</v>
      </c>
      <c r="O78">
        <v>35</v>
      </c>
      <c r="Q78">
        <v>-1.8408000000000001E-2</v>
      </c>
    </row>
    <row r="79" spans="1:17" x14ac:dyDescent="0.25">
      <c r="A79">
        <v>20180430</v>
      </c>
      <c r="B79" t="s">
        <v>83</v>
      </c>
      <c r="E79">
        <v>48.89</v>
      </c>
      <c r="G79" t="s">
        <v>84</v>
      </c>
      <c r="J79">
        <v>322.04001</v>
      </c>
      <c r="L79" t="s">
        <v>85</v>
      </c>
      <c r="O79">
        <v>36.78</v>
      </c>
      <c r="Q79">
        <v>4.7559999999999998E-3</v>
      </c>
    </row>
    <row r="80" spans="1:17" x14ac:dyDescent="0.25">
      <c r="A80">
        <v>20180531</v>
      </c>
      <c r="B80" t="s">
        <v>83</v>
      </c>
      <c r="E80">
        <v>51.62</v>
      </c>
      <c r="G80" t="s">
        <v>84</v>
      </c>
      <c r="J80">
        <v>327.25</v>
      </c>
      <c r="L80" t="s">
        <v>85</v>
      </c>
      <c r="O80">
        <v>37.33</v>
      </c>
      <c r="Q80">
        <v>2.6152000000000002E-2</v>
      </c>
    </row>
    <row r="81" spans="1:17" x14ac:dyDescent="0.25">
      <c r="A81">
        <v>20180629</v>
      </c>
      <c r="B81" t="s">
        <v>83</v>
      </c>
      <c r="C81">
        <v>0.13400000000000001</v>
      </c>
      <c r="D81">
        <v>0</v>
      </c>
      <c r="E81">
        <v>52.27</v>
      </c>
      <c r="G81" t="s">
        <v>84</v>
      </c>
      <c r="H81">
        <v>1.2</v>
      </c>
      <c r="I81">
        <v>0</v>
      </c>
      <c r="J81">
        <v>307.70001000000002</v>
      </c>
      <c r="L81" t="s">
        <v>85</v>
      </c>
      <c r="M81">
        <v>0.32</v>
      </c>
      <c r="N81">
        <v>0</v>
      </c>
      <c r="O81">
        <v>36.46</v>
      </c>
      <c r="Q81">
        <v>5.3299999999999997E-3</v>
      </c>
    </row>
    <row r="161" spans="1:5" x14ac:dyDescent="0.25">
      <c r="A161">
        <v>20111230</v>
      </c>
      <c r="B161" t="s">
        <v>85</v>
      </c>
      <c r="E161">
        <v>18.670000000000002</v>
      </c>
    </row>
    <row r="162" spans="1:5" x14ac:dyDescent="0.25">
      <c r="A162">
        <v>20120131</v>
      </c>
      <c r="B162" t="s">
        <v>85</v>
      </c>
      <c r="E162">
        <v>20.02</v>
      </c>
    </row>
    <row r="163" spans="1:5" x14ac:dyDescent="0.25">
      <c r="A163">
        <v>20120229</v>
      </c>
      <c r="B163" t="s">
        <v>85</v>
      </c>
      <c r="C163">
        <v>0.15</v>
      </c>
      <c r="D163">
        <v>0</v>
      </c>
      <c r="E163">
        <v>20.89</v>
      </c>
    </row>
    <row r="164" spans="1:5" x14ac:dyDescent="0.25">
      <c r="A164">
        <v>20120330</v>
      </c>
      <c r="B164" t="s">
        <v>85</v>
      </c>
      <c r="E164">
        <v>21.92</v>
      </c>
    </row>
    <row r="165" spans="1:5" x14ac:dyDescent="0.25">
      <c r="A165">
        <v>20120430</v>
      </c>
      <c r="B165" t="s">
        <v>85</v>
      </c>
      <c r="E165">
        <v>20.36</v>
      </c>
    </row>
    <row r="166" spans="1:5" x14ac:dyDescent="0.25">
      <c r="A166">
        <v>20120531</v>
      </c>
      <c r="B166" t="s">
        <v>85</v>
      </c>
      <c r="C166">
        <v>0.15</v>
      </c>
      <c r="D166">
        <v>0</v>
      </c>
      <c r="E166">
        <v>19.91</v>
      </c>
    </row>
    <row r="167" spans="1:5" x14ac:dyDescent="0.25">
      <c r="A167">
        <v>20120629</v>
      </c>
      <c r="B167" t="s">
        <v>85</v>
      </c>
      <c r="E167">
        <v>22.36</v>
      </c>
    </row>
    <row r="168" spans="1:5" x14ac:dyDescent="0.25">
      <c r="A168">
        <v>20120731</v>
      </c>
      <c r="B168" t="s">
        <v>85</v>
      </c>
      <c r="E168">
        <v>23.35</v>
      </c>
    </row>
    <row r="169" spans="1:5" x14ac:dyDescent="0.25">
      <c r="A169">
        <v>20120831</v>
      </c>
      <c r="B169" t="s">
        <v>85</v>
      </c>
      <c r="C169">
        <v>0.15</v>
      </c>
      <c r="D169">
        <v>0</v>
      </c>
      <c r="E169">
        <v>24.91</v>
      </c>
    </row>
    <row r="170" spans="1:5" x14ac:dyDescent="0.25">
      <c r="A170">
        <v>20120928</v>
      </c>
      <c r="B170" t="s">
        <v>85</v>
      </c>
      <c r="E170">
        <v>26.14</v>
      </c>
    </row>
    <row r="171" spans="1:5" x14ac:dyDescent="0.25">
      <c r="A171">
        <v>20121031</v>
      </c>
      <c r="B171" t="s">
        <v>85</v>
      </c>
      <c r="E171">
        <v>27.69</v>
      </c>
    </row>
    <row r="172" spans="1:5" x14ac:dyDescent="0.25">
      <c r="A172">
        <v>20121130</v>
      </c>
      <c r="B172" t="s">
        <v>85</v>
      </c>
      <c r="C172">
        <v>0.17</v>
      </c>
      <c r="D172">
        <v>0</v>
      </c>
      <c r="E172">
        <v>27.56</v>
      </c>
    </row>
    <row r="173" spans="1:5" x14ac:dyDescent="0.25">
      <c r="A173">
        <v>20121231</v>
      </c>
      <c r="B173" t="s">
        <v>85</v>
      </c>
      <c r="E173">
        <v>27.82</v>
      </c>
    </row>
    <row r="174" spans="1:5" x14ac:dyDescent="0.25">
      <c r="A174">
        <v>20130131</v>
      </c>
      <c r="B174" t="s">
        <v>85</v>
      </c>
      <c r="E174">
        <v>30.12</v>
      </c>
    </row>
    <row r="175" spans="1:5" x14ac:dyDescent="0.25">
      <c r="A175">
        <v>20130228</v>
      </c>
      <c r="B175" t="s">
        <v>85</v>
      </c>
      <c r="C175">
        <v>0.17</v>
      </c>
      <c r="D175">
        <v>0</v>
      </c>
      <c r="E175">
        <v>29.41</v>
      </c>
    </row>
    <row r="176" spans="1:5" x14ac:dyDescent="0.25">
      <c r="A176">
        <v>20130328</v>
      </c>
      <c r="B176" t="s">
        <v>85</v>
      </c>
      <c r="E176">
        <v>31.38</v>
      </c>
    </row>
    <row r="177" spans="1:5" x14ac:dyDescent="0.25">
      <c r="A177">
        <v>20130430</v>
      </c>
      <c r="B177" t="s">
        <v>85</v>
      </c>
      <c r="E177">
        <v>30.51</v>
      </c>
    </row>
    <row r="178" spans="1:5" x14ac:dyDescent="0.25">
      <c r="A178">
        <v>20130531</v>
      </c>
      <c r="B178" t="s">
        <v>85</v>
      </c>
      <c r="C178">
        <v>0.2</v>
      </c>
      <c r="D178">
        <v>0</v>
      </c>
      <c r="E178">
        <v>29.82</v>
      </c>
    </row>
    <row r="179" spans="1:5" x14ac:dyDescent="0.25">
      <c r="A179">
        <v>20130628</v>
      </c>
      <c r="B179" t="s">
        <v>85</v>
      </c>
      <c r="E179">
        <v>28.49</v>
      </c>
    </row>
    <row r="180" spans="1:5" x14ac:dyDescent="0.25">
      <c r="A180">
        <v>20130731</v>
      </c>
      <c r="B180" t="s">
        <v>85</v>
      </c>
      <c r="E180">
        <v>28.4</v>
      </c>
    </row>
    <row r="181" spans="1:5" x14ac:dyDescent="0.25">
      <c r="A181">
        <v>20130830</v>
      </c>
      <c r="B181" t="s">
        <v>85</v>
      </c>
      <c r="C181">
        <v>0.22</v>
      </c>
      <c r="D181">
        <v>0</v>
      </c>
      <c r="E181">
        <v>27.38</v>
      </c>
    </row>
    <row r="182" spans="1:5" x14ac:dyDescent="0.25">
      <c r="A182">
        <v>20130930</v>
      </c>
      <c r="B182" t="s">
        <v>85</v>
      </c>
      <c r="E182">
        <v>28.63</v>
      </c>
    </row>
    <row r="183" spans="1:5" x14ac:dyDescent="0.25">
      <c r="A183">
        <v>20131031</v>
      </c>
      <c r="B183" t="s">
        <v>85</v>
      </c>
      <c r="C183">
        <v>0.22</v>
      </c>
      <c r="D183">
        <v>0</v>
      </c>
      <c r="E183">
        <v>30.414999999999999</v>
      </c>
    </row>
    <row r="184" spans="1:5" x14ac:dyDescent="0.25">
      <c r="A184">
        <v>20131129</v>
      </c>
      <c r="B184" t="s">
        <v>85</v>
      </c>
      <c r="E184">
        <v>30.13</v>
      </c>
    </row>
    <row r="185" spans="1:5" x14ac:dyDescent="0.25">
      <c r="A185">
        <v>20131231</v>
      </c>
      <c r="B185" t="s">
        <v>85</v>
      </c>
      <c r="E185">
        <v>31.57</v>
      </c>
    </row>
    <row r="186" spans="1:5" x14ac:dyDescent="0.25">
      <c r="A186">
        <v>20140131</v>
      </c>
      <c r="B186" t="s">
        <v>85</v>
      </c>
      <c r="E186">
        <v>29.88</v>
      </c>
    </row>
    <row r="187" spans="1:5" x14ac:dyDescent="0.25">
      <c r="A187">
        <v>20140228</v>
      </c>
      <c r="B187" t="s">
        <v>85</v>
      </c>
      <c r="C187">
        <v>0.22</v>
      </c>
      <c r="D187">
        <v>0</v>
      </c>
      <c r="E187">
        <v>29.51</v>
      </c>
    </row>
    <row r="188" spans="1:5" x14ac:dyDescent="0.25">
      <c r="A188">
        <v>20140331</v>
      </c>
      <c r="B188" t="s">
        <v>85</v>
      </c>
      <c r="E188">
        <v>29.35</v>
      </c>
    </row>
    <row r="189" spans="1:5" x14ac:dyDescent="0.25">
      <c r="A189">
        <v>20140430</v>
      </c>
      <c r="B189" t="s">
        <v>85</v>
      </c>
      <c r="E189">
        <v>29.85</v>
      </c>
    </row>
    <row r="190" spans="1:5" x14ac:dyDescent="0.25">
      <c r="A190">
        <v>20140530</v>
      </c>
      <c r="B190" t="s">
        <v>85</v>
      </c>
      <c r="C190">
        <v>0.22</v>
      </c>
      <c r="D190">
        <v>0</v>
      </c>
      <c r="E190">
        <v>31.42</v>
      </c>
    </row>
    <row r="191" spans="1:5" x14ac:dyDescent="0.25">
      <c r="A191">
        <v>20140630</v>
      </c>
      <c r="B191" t="s">
        <v>85</v>
      </c>
      <c r="E191">
        <v>33.090000000000003</v>
      </c>
    </row>
    <row r="192" spans="1:5" x14ac:dyDescent="0.25">
      <c r="A192">
        <v>20140731</v>
      </c>
      <c r="B192" t="s">
        <v>85</v>
      </c>
      <c r="E192">
        <v>31.32</v>
      </c>
    </row>
    <row r="193" spans="1:5" x14ac:dyDescent="0.25">
      <c r="A193">
        <v>20140829</v>
      </c>
      <c r="B193" t="s">
        <v>85</v>
      </c>
      <c r="C193">
        <v>0.28999999999999998</v>
      </c>
      <c r="D193">
        <v>0</v>
      </c>
      <c r="E193">
        <v>33.950000000000003</v>
      </c>
    </row>
    <row r="194" spans="1:5" x14ac:dyDescent="0.25">
      <c r="A194">
        <v>20140930</v>
      </c>
      <c r="B194" t="s">
        <v>85</v>
      </c>
      <c r="E194">
        <v>31.86</v>
      </c>
    </row>
    <row r="195" spans="1:5" x14ac:dyDescent="0.25">
      <c r="A195">
        <v>20141031</v>
      </c>
      <c r="B195" t="s">
        <v>85</v>
      </c>
      <c r="C195">
        <v>0.28999999999999998</v>
      </c>
      <c r="D195">
        <v>0</v>
      </c>
      <c r="E195">
        <v>33.86</v>
      </c>
    </row>
    <row r="196" spans="1:5" x14ac:dyDescent="0.25">
      <c r="A196">
        <v>20141128</v>
      </c>
      <c r="B196" t="s">
        <v>85</v>
      </c>
      <c r="E196">
        <v>35.31</v>
      </c>
    </row>
    <row r="197" spans="1:5" x14ac:dyDescent="0.25">
      <c r="A197">
        <v>20141231</v>
      </c>
      <c r="B197" t="s">
        <v>85</v>
      </c>
      <c r="E197">
        <v>35.89</v>
      </c>
    </row>
    <row r="198" spans="1:5" x14ac:dyDescent="0.25">
      <c r="A198">
        <v>20150130</v>
      </c>
      <c r="B198" t="s">
        <v>85</v>
      </c>
      <c r="E198">
        <v>35.85</v>
      </c>
    </row>
    <row r="199" spans="1:5" x14ac:dyDescent="0.25">
      <c r="A199">
        <v>20150227</v>
      </c>
      <c r="B199" t="s">
        <v>85</v>
      </c>
      <c r="C199">
        <v>0.28999999999999998</v>
      </c>
      <c r="D199">
        <v>0</v>
      </c>
      <c r="E199">
        <v>35.11</v>
      </c>
    </row>
    <row r="200" spans="1:5" x14ac:dyDescent="0.25">
      <c r="A200">
        <v>20150331</v>
      </c>
      <c r="B200" t="s">
        <v>85</v>
      </c>
      <c r="E200">
        <v>33.15</v>
      </c>
    </row>
    <row r="201" spans="1:5" x14ac:dyDescent="0.25">
      <c r="A201">
        <v>20150430</v>
      </c>
      <c r="B201" t="s">
        <v>85</v>
      </c>
      <c r="E201">
        <v>31.51</v>
      </c>
    </row>
    <row r="202" spans="1:5" x14ac:dyDescent="0.25">
      <c r="A202">
        <v>20150529</v>
      </c>
      <c r="B202" t="s">
        <v>85</v>
      </c>
      <c r="E202">
        <v>32.56</v>
      </c>
    </row>
    <row r="203" spans="1:5" x14ac:dyDescent="0.25">
      <c r="A203">
        <v>20150630</v>
      </c>
      <c r="B203" t="s">
        <v>85</v>
      </c>
      <c r="C203">
        <v>0.28999999999999998</v>
      </c>
      <c r="D203">
        <v>0</v>
      </c>
      <c r="E203">
        <v>31.5</v>
      </c>
    </row>
    <row r="204" spans="1:5" x14ac:dyDescent="0.25">
      <c r="A204">
        <v>20150731</v>
      </c>
      <c r="B204" t="s">
        <v>85</v>
      </c>
      <c r="E204">
        <v>30.69</v>
      </c>
    </row>
    <row r="205" spans="1:5" x14ac:dyDescent="0.25">
      <c r="A205">
        <v>20150831</v>
      </c>
      <c r="B205" t="s">
        <v>85</v>
      </c>
      <c r="E205">
        <v>27.94</v>
      </c>
    </row>
    <row r="206" spans="1:5" x14ac:dyDescent="0.25">
      <c r="A206">
        <v>20150930</v>
      </c>
      <c r="B206" t="s">
        <v>85</v>
      </c>
      <c r="C206">
        <v>0.31</v>
      </c>
      <c r="D206">
        <v>0</v>
      </c>
      <c r="E206">
        <v>27.34</v>
      </c>
    </row>
    <row r="207" spans="1:5" x14ac:dyDescent="0.25">
      <c r="A207">
        <v>20151030</v>
      </c>
      <c r="B207" t="s">
        <v>85</v>
      </c>
      <c r="C207">
        <v>0.31</v>
      </c>
      <c r="D207">
        <v>0</v>
      </c>
      <c r="E207">
        <v>29.33</v>
      </c>
    </row>
    <row r="208" spans="1:5" x14ac:dyDescent="0.25">
      <c r="A208">
        <v>20151130</v>
      </c>
      <c r="B208" t="s">
        <v>85</v>
      </c>
      <c r="E208">
        <v>32.17</v>
      </c>
    </row>
    <row r="209" spans="1:5" x14ac:dyDescent="0.25">
      <c r="A209">
        <v>20151231</v>
      </c>
      <c r="B209" t="s">
        <v>85</v>
      </c>
      <c r="E209">
        <v>29.98</v>
      </c>
    </row>
    <row r="210" spans="1:5" x14ac:dyDescent="0.25">
      <c r="A210">
        <v>20160129</v>
      </c>
      <c r="B210" t="s">
        <v>85</v>
      </c>
      <c r="E210">
        <v>25.61</v>
      </c>
    </row>
    <row r="211" spans="1:5" x14ac:dyDescent="0.25">
      <c r="A211">
        <v>20160229</v>
      </c>
      <c r="B211" t="s">
        <v>85</v>
      </c>
      <c r="E211">
        <v>25.98</v>
      </c>
    </row>
    <row r="212" spans="1:5" x14ac:dyDescent="0.25">
      <c r="A212">
        <v>20160331</v>
      </c>
      <c r="B212" t="s">
        <v>85</v>
      </c>
      <c r="C212">
        <v>0.31</v>
      </c>
      <c r="D212">
        <v>0</v>
      </c>
      <c r="E212">
        <v>30.98</v>
      </c>
    </row>
    <row r="213" spans="1:5" x14ac:dyDescent="0.25">
      <c r="A213">
        <v>20160429</v>
      </c>
      <c r="B213" t="s">
        <v>85</v>
      </c>
      <c r="E213">
        <v>32.119999999999997</v>
      </c>
    </row>
    <row r="214" spans="1:5" x14ac:dyDescent="0.25">
      <c r="A214">
        <v>20160531</v>
      </c>
      <c r="B214" t="s">
        <v>85</v>
      </c>
      <c r="E214">
        <v>31.5</v>
      </c>
    </row>
    <row r="215" spans="1:5" x14ac:dyDescent="0.25">
      <c r="A215">
        <v>20160630</v>
      </c>
      <c r="B215" t="s">
        <v>85</v>
      </c>
      <c r="C215">
        <v>0.31</v>
      </c>
      <c r="D215">
        <v>0</v>
      </c>
      <c r="E215">
        <v>29.77</v>
      </c>
    </row>
    <row r="216" spans="1:5" x14ac:dyDescent="0.25">
      <c r="A216">
        <v>20160729</v>
      </c>
      <c r="B216" t="s">
        <v>85</v>
      </c>
      <c r="E216">
        <v>32.72</v>
      </c>
    </row>
    <row r="217" spans="1:5" x14ac:dyDescent="0.25">
      <c r="A217">
        <v>20160831</v>
      </c>
      <c r="B217" t="s">
        <v>85</v>
      </c>
      <c r="E217">
        <v>31.85</v>
      </c>
    </row>
    <row r="218" spans="1:5" x14ac:dyDescent="0.25">
      <c r="A218">
        <v>20160930</v>
      </c>
      <c r="B218" t="s">
        <v>85</v>
      </c>
      <c r="C218">
        <v>0.31</v>
      </c>
      <c r="D218">
        <v>0</v>
      </c>
      <c r="E218">
        <v>31.94</v>
      </c>
    </row>
    <row r="219" spans="1:5" x14ac:dyDescent="0.25">
      <c r="A219">
        <v>20161031</v>
      </c>
      <c r="B219" t="s">
        <v>85</v>
      </c>
      <c r="C219">
        <v>0.31</v>
      </c>
      <c r="D219">
        <v>0</v>
      </c>
      <c r="E219">
        <v>29.93</v>
      </c>
    </row>
    <row r="220" spans="1:5" x14ac:dyDescent="0.25">
      <c r="A220">
        <v>20161130</v>
      </c>
      <c r="B220" t="s">
        <v>85</v>
      </c>
      <c r="E220">
        <v>30.83</v>
      </c>
    </row>
    <row r="221" spans="1:5" x14ac:dyDescent="0.25">
      <c r="A221">
        <v>20161230</v>
      </c>
      <c r="B221" t="s">
        <v>85</v>
      </c>
      <c r="E221">
        <v>30.09</v>
      </c>
    </row>
    <row r="222" spans="1:5" x14ac:dyDescent="0.25">
      <c r="A222">
        <v>20170131</v>
      </c>
      <c r="B222" t="s">
        <v>85</v>
      </c>
      <c r="E222">
        <v>31.33</v>
      </c>
    </row>
    <row r="223" spans="1:5" x14ac:dyDescent="0.25">
      <c r="A223">
        <v>20170228</v>
      </c>
      <c r="B223" t="s">
        <v>85</v>
      </c>
      <c r="E223">
        <v>33.72</v>
      </c>
    </row>
    <row r="224" spans="1:5" x14ac:dyDescent="0.25">
      <c r="A224">
        <v>20170331</v>
      </c>
      <c r="B224" t="s">
        <v>85</v>
      </c>
      <c r="C224">
        <v>0.31</v>
      </c>
      <c r="D224">
        <v>0</v>
      </c>
      <c r="E224">
        <v>33.979999999999997</v>
      </c>
    </row>
    <row r="225" spans="1:5" x14ac:dyDescent="0.25">
      <c r="A225">
        <v>20170428</v>
      </c>
      <c r="B225" t="s">
        <v>85</v>
      </c>
      <c r="E225">
        <v>33.869999999999997</v>
      </c>
    </row>
    <row r="226" spans="1:5" x14ac:dyDescent="0.25">
      <c r="A226">
        <v>20170531</v>
      </c>
      <c r="B226" t="s">
        <v>85</v>
      </c>
      <c r="E226">
        <v>32.96</v>
      </c>
    </row>
    <row r="227" spans="1:5" x14ac:dyDescent="0.25">
      <c r="A227">
        <v>20170630</v>
      </c>
      <c r="B227" t="s">
        <v>85</v>
      </c>
      <c r="C227">
        <v>0.31</v>
      </c>
      <c r="D227">
        <v>0</v>
      </c>
      <c r="E227">
        <v>33.5</v>
      </c>
    </row>
    <row r="228" spans="1:5" x14ac:dyDescent="0.25">
      <c r="A228">
        <v>20170731</v>
      </c>
      <c r="B228" t="s">
        <v>85</v>
      </c>
      <c r="E228">
        <v>33.020000000000003</v>
      </c>
    </row>
    <row r="229" spans="1:5" x14ac:dyDescent="0.25">
      <c r="A229">
        <v>20170831</v>
      </c>
      <c r="B229" t="s">
        <v>85</v>
      </c>
      <c r="E229">
        <v>32.61</v>
      </c>
    </row>
    <row r="230" spans="1:5" x14ac:dyDescent="0.25">
      <c r="A230">
        <v>20170929</v>
      </c>
      <c r="B230" t="s">
        <v>85</v>
      </c>
      <c r="C230">
        <v>0.31</v>
      </c>
      <c r="D230">
        <v>0</v>
      </c>
      <c r="E230">
        <v>34.03</v>
      </c>
    </row>
    <row r="231" spans="1:5" x14ac:dyDescent="0.25">
      <c r="A231">
        <v>20171031</v>
      </c>
      <c r="B231" t="s">
        <v>85</v>
      </c>
      <c r="E231">
        <v>35.909999999999997</v>
      </c>
    </row>
    <row r="232" spans="1:5" x14ac:dyDescent="0.25">
      <c r="A232">
        <v>20171130</v>
      </c>
      <c r="B232" t="s">
        <v>85</v>
      </c>
      <c r="C232">
        <v>0.32</v>
      </c>
      <c r="D232">
        <v>0</v>
      </c>
      <c r="E232">
        <v>35.380000000000003</v>
      </c>
    </row>
    <row r="233" spans="1:5" x14ac:dyDescent="0.25">
      <c r="A233">
        <v>20171229</v>
      </c>
      <c r="B233" t="s">
        <v>85</v>
      </c>
      <c r="E233">
        <v>35.26</v>
      </c>
    </row>
    <row r="234" spans="1:5" x14ac:dyDescent="0.25">
      <c r="A234">
        <v>20180131</v>
      </c>
      <c r="B234" t="s">
        <v>85</v>
      </c>
      <c r="E234">
        <v>37.54</v>
      </c>
    </row>
    <row r="235" spans="1:5" x14ac:dyDescent="0.25">
      <c r="A235">
        <v>20180228</v>
      </c>
      <c r="B235" t="s">
        <v>85</v>
      </c>
      <c r="E235">
        <v>35.03</v>
      </c>
    </row>
    <row r="236" spans="1:5" x14ac:dyDescent="0.25">
      <c r="A236">
        <v>20180329</v>
      </c>
      <c r="B236" t="s">
        <v>85</v>
      </c>
      <c r="C236">
        <v>0.32</v>
      </c>
      <c r="D236">
        <v>0</v>
      </c>
      <c r="E236">
        <v>35</v>
      </c>
    </row>
    <row r="237" spans="1:5" x14ac:dyDescent="0.25">
      <c r="A237">
        <v>20180430</v>
      </c>
      <c r="B237" t="s">
        <v>85</v>
      </c>
      <c r="E237">
        <v>36.78</v>
      </c>
    </row>
    <row r="238" spans="1:5" x14ac:dyDescent="0.25">
      <c r="A238">
        <v>20180531</v>
      </c>
      <c r="B238" t="s">
        <v>85</v>
      </c>
      <c r="E238">
        <v>37.33</v>
      </c>
    </row>
    <row r="239" spans="1:5" x14ac:dyDescent="0.25">
      <c r="A239">
        <v>20180629</v>
      </c>
      <c r="B239" t="s">
        <v>85</v>
      </c>
      <c r="C239">
        <v>0.32</v>
      </c>
      <c r="D239">
        <v>0</v>
      </c>
      <c r="E239">
        <v>36.46</v>
      </c>
    </row>
  </sheetData>
  <mergeCells count="3">
    <mergeCell ref="B1:E1"/>
    <mergeCell ref="G1:J1"/>
    <mergeCell ref="L1:O1"/>
  </mergeCells>
  <phoneticPr fontId="22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AR97"/>
  <sheetViews>
    <sheetView topLeftCell="A67" workbookViewId="0">
      <selection activeCell="Z93" sqref="Z93:AB93"/>
    </sheetView>
  </sheetViews>
  <sheetFormatPr defaultColWidth="8.85546875" defaultRowHeight="15" x14ac:dyDescent="0.25"/>
  <sheetData>
    <row r="1" spans="1:44" x14ac:dyDescent="0.25">
      <c r="A1" t="s">
        <v>90</v>
      </c>
    </row>
    <row r="2" spans="1:44" x14ac:dyDescent="0.25">
      <c r="A2" t="s">
        <v>91</v>
      </c>
    </row>
    <row r="3" spans="1:44" x14ac:dyDescent="0.25">
      <c r="A3" t="s">
        <v>94</v>
      </c>
    </row>
    <row r="4" spans="1:44" x14ac:dyDescent="0.25">
      <c r="A4" t="s">
        <v>95</v>
      </c>
    </row>
    <row r="6" spans="1:44" x14ac:dyDescent="0.25">
      <c r="B6" t="s">
        <v>0</v>
      </c>
    </row>
    <row r="7" spans="1:44" x14ac:dyDescent="0.25">
      <c r="B7" t="s">
        <v>1</v>
      </c>
    </row>
    <row r="8" spans="1:44" x14ac:dyDescent="0.25">
      <c r="AP8" t="s">
        <v>92</v>
      </c>
      <c r="AQ8" t="s">
        <v>92</v>
      </c>
      <c r="AR8" t="s">
        <v>92</v>
      </c>
    </row>
    <row r="9" spans="1:44" x14ac:dyDescent="0.25">
      <c r="AP9" t="s">
        <v>93</v>
      </c>
      <c r="AQ9" t="s">
        <v>93</v>
      </c>
      <c r="AR9" t="s">
        <v>93</v>
      </c>
    </row>
    <row r="10" spans="1:44" x14ac:dyDescent="0.25">
      <c r="A10" t="str">
        <f>Data!A2</f>
        <v>date</v>
      </c>
      <c r="B10" t="s">
        <v>83</v>
      </c>
      <c r="D10" t="s">
        <v>84</v>
      </c>
      <c r="F10" t="s">
        <v>85</v>
      </c>
      <c r="I10" t="s">
        <v>15</v>
      </c>
      <c r="AP10" t="s">
        <v>83</v>
      </c>
      <c r="AQ10" t="s">
        <v>84</v>
      </c>
      <c r="AR10" t="s">
        <v>85</v>
      </c>
    </row>
    <row r="11" spans="1:44" x14ac:dyDescent="0.25">
      <c r="A11">
        <f>Data!A4</f>
        <v>20120131</v>
      </c>
      <c r="B11">
        <f>(Data!E4+Data!C4-Keys!AP11)/AP11</f>
        <v>0.12467666839110193</v>
      </c>
      <c r="D11">
        <f>(Data!J4+Data!H4-Keys!AQ11)/Keys!AQ11</f>
        <v>-7.3529411764705838E-3</v>
      </c>
      <c r="F11">
        <f>(Data!O4+Data!M4-Keys!AR11)/Keys!AR11</f>
        <v>7.2308516336368381E-2</v>
      </c>
      <c r="AP11">
        <f>Data!E3/(1+Data!D4)</f>
        <v>19.329999999999998</v>
      </c>
      <c r="AQ11">
        <f>Data!J3/(1+Data!I4)</f>
        <v>58.48</v>
      </c>
      <c r="AR11">
        <f>Data!O3/(1+Data!N4)</f>
        <v>18.670000000000002</v>
      </c>
    </row>
    <row r="12" spans="1:44" x14ac:dyDescent="0.25">
      <c r="A12">
        <f>Data!A5</f>
        <v>20120229</v>
      </c>
      <c r="B12">
        <f>(Data!E5+Data!C5-Keys!AP12)/AP12</f>
        <v>0.14765409383624661</v>
      </c>
      <c r="D12">
        <f>(Data!J5+Data!H5-Keys!AQ12)/Keys!AQ12</f>
        <v>3.893195521102507E-2</v>
      </c>
      <c r="F12">
        <f>(Data!O5+Data!M5-Keys!AR12)/Keys!AR12</f>
        <v>5.0949050949050931E-2</v>
      </c>
      <c r="AP12">
        <f>Data!E4/(1+Data!D5)</f>
        <v>21.74</v>
      </c>
      <c r="AQ12">
        <f>Data!J4/(1+Data!I5)</f>
        <v>58.05</v>
      </c>
      <c r="AR12">
        <f>Data!O4/(1+Data!N5)</f>
        <v>20.02</v>
      </c>
    </row>
    <row r="13" spans="1:44" x14ac:dyDescent="0.25">
      <c r="A13">
        <f>Data!A6</f>
        <v>20120330</v>
      </c>
      <c r="B13">
        <f>(Data!E6+Data!C6-Keys!AP13)/AP13</f>
        <v>-7.6913827655310504E-2</v>
      </c>
      <c r="D13">
        <f>(Data!J6+Data!H6-Keys!AQ13)/Keys!AQ13</f>
        <v>2.1233907373348872E-2</v>
      </c>
      <c r="F13">
        <f>(Data!O6+Data!M6-Keys!AR13)/Keys!AR13</f>
        <v>4.9305887984681718E-2</v>
      </c>
      <c r="AP13">
        <f>Data!E5/(1+Data!D6)</f>
        <v>24.95</v>
      </c>
      <c r="AQ13">
        <f>Data!J5/(1+Data!I6)</f>
        <v>59.81</v>
      </c>
      <c r="AR13">
        <f>Data!O5/(1+Data!N6)</f>
        <v>20.89</v>
      </c>
    </row>
    <row r="14" spans="1:44" x14ac:dyDescent="0.25">
      <c r="A14">
        <f>Data!A7</f>
        <v>20120430</v>
      </c>
      <c r="B14">
        <f>(Data!E7+Data!C7-Keys!AP14)/AP14</f>
        <v>-2.0924149956408039E-2</v>
      </c>
      <c r="D14">
        <f>(Data!J7+Data!H7-Keys!AQ14)/Keys!AQ14</f>
        <v>3.6018336607727616E-2</v>
      </c>
      <c r="F14">
        <f>(Data!O7+Data!M7-Keys!AR14)/Keys!AR14</f>
        <v>-7.1167883211678926E-2</v>
      </c>
      <c r="AP14">
        <f>Data!E6/(1+Data!D7)</f>
        <v>22.94</v>
      </c>
      <c r="AQ14">
        <f>Data!J6/(1+Data!I7)</f>
        <v>61.08</v>
      </c>
      <c r="AR14">
        <f>Data!O6/(1+Data!N7)</f>
        <v>21.92</v>
      </c>
    </row>
    <row r="15" spans="1:44" x14ac:dyDescent="0.25">
      <c r="A15">
        <f>Data!A8</f>
        <v>20120531</v>
      </c>
      <c r="B15">
        <f>(Data!E8+Data!C8-Keys!AP15)/AP15</f>
        <v>-8.1878895814781777E-2</v>
      </c>
      <c r="D15">
        <f>(Data!J8+Data!H8-Keys!AQ15)/Keys!AQ15</f>
        <v>-6.2895069532237738E-2</v>
      </c>
      <c r="F15">
        <f>(Data!O8+Data!M8-Keys!AR15)/Keys!AR15</f>
        <v>-1.4734774066797678E-2</v>
      </c>
      <c r="AP15">
        <f>Data!E7/(1+Data!D8)</f>
        <v>22.46</v>
      </c>
      <c r="AQ15">
        <f>Data!J7/(1+Data!I8)</f>
        <v>63.28</v>
      </c>
      <c r="AR15">
        <f>Data!O7/(1+Data!N8)</f>
        <v>20.36</v>
      </c>
    </row>
    <row r="16" spans="1:44" x14ac:dyDescent="0.25">
      <c r="A16">
        <f>Data!A9</f>
        <v>20120629</v>
      </c>
      <c r="B16">
        <f>(Data!E9+Data!C9-Keys!AP16)/AP16</f>
        <v>-0.14271797369702871</v>
      </c>
      <c r="D16">
        <f>(Data!J9+Data!H9-Keys!AQ16)/Keys!AQ16</f>
        <v>8.5787234042553173E-2</v>
      </c>
      <c r="F16">
        <f>(Data!O9+Data!M9-Keys!AR16)/Keys!AR16</f>
        <v>0.12305374183827218</v>
      </c>
      <c r="AP16">
        <f>Data!E8/(1+Data!D9)</f>
        <v>20.53</v>
      </c>
      <c r="AQ16">
        <f>Data!J8/(1+Data!I9)</f>
        <v>58.75</v>
      </c>
      <c r="AR16">
        <f>Data!O8/(1+Data!N9)</f>
        <v>19.91</v>
      </c>
    </row>
    <row r="17" spans="1:44" x14ac:dyDescent="0.25">
      <c r="A17">
        <f>Data!A10</f>
        <v>20120731</v>
      </c>
      <c r="B17">
        <f>(Data!E10+Data!C10-Keys!AP17)/AP17</f>
        <v>6.4772727272727093E-2</v>
      </c>
      <c r="D17">
        <f>(Data!J10+Data!H10-Keys!AQ17)/Keys!AQ17</f>
        <v>3.7780216334848779E-2</v>
      </c>
      <c r="F17">
        <f>(Data!O10+Data!M10-Keys!AR17)/Keys!AR17</f>
        <v>4.4275491949910643E-2</v>
      </c>
      <c r="AP17">
        <f>Data!E9/(1+Data!D10)</f>
        <v>17.600000000000001</v>
      </c>
      <c r="AQ17">
        <f>Data!J9/(1+Data!I10)</f>
        <v>63.79</v>
      </c>
      <c r="AR17">
        <f>Data!O9/(1+Data!N10)</f>
        <v>22.36</v>
      </c>
    </row>
    <row r="18" spans="1:44" x14ac:dyDescent="0.25">
      <c r="A18">
        <f>Data!A11</f>
        <v>20120831</v>
      </c>
      <c r="B18">
        <f>(Data!E11+Data!C11-Keys!AP18)/AP18</f>
        <v>6.6755602988260471E-2</v>
      </c>
      <c r="D18">
        <f>(Data!J11+Data!H11-Keys!AQ18)/Keys!AQ18</f>
        <v>1.8731117824773335E-2</v>
      </c>
      <c r="F18">
        <f>(Data!O11+Data!M11-Keys!AR18)/Keys!AR18</f>
        <v>7.3233404710920658E-2</v>
      </c>
      <c r="AP18">
        <f>Data!E10/(1+Data!D11)</f>
        <v>18.739999999999998</v>
      </c>
      <c r="AQ18">
        <f>Data!J10/(1+Data!I11)</f>
        <v>66.2</v>
      </c>
      <c r="AR18">
        <f>Data!O10/(1+Data!N11)</f>
        <v>23.35</v>
      </c>
    </row>
    <row r="19" spans="1:44" x14ac:dyDescent="0.25">
      <c r="A19">
        <f>Data!A12</f>
        <v>20120928</v>
      </c>
      <c r="B19">
        <f>(Data!E12+Data!C12-Keys!AP19)/AP19</f>
        <v>1.2562814070351759E-2</v>
      </c>
      <c r="D19">
        <f>(Data!J12+Data!H12-Keys!AQ19)/Keys!AQ19</f>
        <v>-6.8769621767079342E-3</v>
      </c>
      <c r="F19">
        <f>(Data!O12+Data!M12-Keys!AR19)/Keys!AR19</f>
        <v>4.9377759935768782E-2</v>
      </c>
      <c r="AP19">
        <f>Data!E11/(1+Data!D12)</f>
        <v>19.899999999999999</v>
      </c>
      <c r="AQ19">
        <f>Data!J11/(1+Data!I12)</f>
        <v>66.89</v>
      </c>
      <c r="AR19">
        <f>Data!O11/(1+Data!N12)</f>
        <v>24.91</v>
      </c>
    </row>
    <row r="20" spans="1:44" x14ac:dyDescent="0.25">
      <c r="A20">
        <f>Data!A13</f>
        <v>20121031</v>
      </c>
      <c r="B20">
        <f>(Data!E13+Data!C13-Keys!AP20)/AP20</f>
        <v>3.2258064516129142E-2</v>
      </c>
      <c r="D20">
        <f>(Data!J13+Data!H13-Keys!AQ20)/Keys!AQ20</f>
        <v>3.4020773746801E-2</v>
      </c>
      <c r="F20">
        <f>(Data!O13+Data!M13-Keys!AR20)/Keys!AR20</f>
        <v>5.9296097934200487E-2</v>
      </c>
      <c r="AP20">
        <f>Data!E12/(1+Data!D13)</f>
        <v>20.149999999999999</v>
      </c>
      <c r="AQ20">
        <f>Data!J12/(1+Data!I13)</f>
        <v>66.430000000000007</v>
      </c>
      <c r="AR20">
        <f>Data!O12/(1+Data!N13)</f>
        <v>26.14</v>
      </c>
    </row>
    <row r="21" spans="1:44" x14ac:dyDescent="0.25">
      <c r="A21">
        <f>Data!A14</f>
        <v>20121130</v>
      </c>
      <c r="B21">
        <f>(Data!E14+Data!C14-Keys!AP21)/AP21</f>
        <v>7.98557692307693E-2</v>
      </c>
      <c r="D21">
        <f>(Data!J14+Data!H14-Keys!AQ21)/Keys!AQ21</f>
        <v>-2.0963750181976964E-2</v>
      </c>
      <c r="F21">
        <f>(Data!O14+Data!M14-Keys!AR21)/Keys!AR21</f>
        <v>1.444564824846484E-3</v>
      </c>
      <c r="AP21">
        <f>Data!E13/(1+Data!D14)</f>
        <v>20.8</v>
      </c>
      <c r="AQ21">
        <f>Data!J13/(1+Data!I14)</f>
        <v>68.69</v>
      </c>
      <c r="AR21">
        <f>Data!O13/(1+Data!N14)</f>
        <v>27.69</v>
      </c>
    </row>
    <row r="22" spans="1:44" x14ac:dyDescent="0.25">
      <c r="A22">
        <f>Data!A15</f>
        <v>20121231</v>
      </c>
      <c r="B22">
        <f>(Data!E15+Data!C15-Keys!AP22)/AP22</f>
        <v>4.8725972284309332E-2</v>
      </c>
      <c r="D22">
        <f>(Data!J15+Data!H15-Keys!AQ22)/Keys!AQ22</f>
        <v>1.3193403298350757E-2</v>
      </c>
      <c r="F22">
        <f>(Data!O15+Data!M15-Keys!AR22)/Keys!AR22</f>
        <v>9.4339622641510003E-3</v>
      </c>
      <c r="AP22">
        <f>Data!E14/(1+Data!D15)</f>
        <v>22.37</v>
      </c>
      <c r="AQ22">
        <f>Data!J14/(1+Data!I15)</f>
        <v>66.7</v>
      </c>
      <c r="AR22">
        <f>Data!O14/(1+Data!N15)</f>
        <v>27.56</v>
      </c>
    </row>
    <row r="23" spans="1:44" x14ac:dyDescent="0.25">
      <c r="A23">
        <f>Data!A16</f>
        <v>20130131</v>
      </c>
      <c r="B23">
        <f>(Data!E16+Data!C16-Keys!AP23)/AP23</f>
        <v>9.4629156010230128E-2</v>
      </c>
      <c r="D23">
        <f>(Data!J16+Data!H16-Keys!AQ23)/Keys!AQ23</f>
        <v>-3.7585084344480497E-2</v>
      </c>
      <c r="F23">
        <f>(Data!O16+Data!M16-Keys!AR23)/Keys!AR23</f>
        <v>8.2674335010783639E-2</v>
      </c>
      <c r="AP23">
        <f>Data!E15/(1+Data!D16)</f>
        <v>23.46</v>
      </c>
      <c r="AQ23">
        <f>Data!J15/(1+Data!I16)</f>
        <v>67.58</v>
      </c>
      <c r="AR23">
        <f>Data!O15/(1+Data!N16)</f>
        <v>27.82</v>
      </c>
    </row>
    <row r="24" spans="1:44" x14ac:dyDescent="0.25">
      <c r="A24">
        <f>Data!A17</f>
        <v>20130228</v>
      </c>
      <c r="B24">
        <f>(Data!E17+Data!C17-Keys!AP24)/AP24</f>
        <v>2.5311526479750723E-2</v>
      </c>
      <c r="D24">
        <f>(Data!J17+Data!H17-Keys!AQ24)/Keys!AQ24</f>
        <v>1.8296432964329607E-2</v>
      </c>
      <c r="F24">
        <f>(Data!O17+Data!M17-Keys!AR24)/Keys!AR24</f>
        <v>-1.7928286852589612E-2</v>
      </c>
      <c r="AP24">
        <f>Data!E16/(1+Data!D17)</f>
        <v>25.68</v>
      </c>
      <c r="AQ24">
        <f>Data!J16/(1+Data!I17)</f>
        <v>65.040000000000006</v>
      </c>
      <c r="AR24">
        <f>Data!O16/(1+Data!N17)</f>
        <v>30.12</v>
      </c>
    </row>
    <row r="25" spans="1:44" x14ac:dyDescent="0.25">
      <c r="A25">
        <f>Data!A18</f>
        <v>20130328</v>
      </c>
      <c r="B25">
        <f>(Data!E18+Data!C18-Keys!AP25)/AP25</f>
        <v>8.3554880364603235E-2</v>
      </c>
      <c r="D25">
        <f>(Data!J18+Data!H18-Keys!AQ25)/Keys!AQ25</f>
        <v>6.8057247259439679E-2</v>
      </c>
      <c r="F25">
        <f>(Data!O18+Data!M18-Keys!AR25)/Keys!AR25</f>
        <v>6.6984019041142429E-2</v>
      </c>
      <c r="AP25">
        <f>Data!E17/(1+Data!D18)</f>
        <v>26.33</v>
      </c>
      <c r="AQ25">
        <f>Data!J17/(1+Data!I18)</f>
        <v>65.680000000000007</v>
      </c>
      <c r="AR25">
        <f>Data!O17/(1+Data!N18)</f>
        <v>29.41</v>
      </c>
    </row>
    <row r="26" spans="1:44" x14ac:dyDescent="0.25">
      <c r="A26">
        <f>Data!A19</f>
        <v>20130430</v>
      </c>
      <c r="B26">
        <f>(Data!E19+Data!C19-Keys!AP26)/AP26</f>
        <v>-2.9194512838550766E-2</v>
      </c>
      <c r="D26">
        <f>(Data!J19+Data!H19-Keys!AQ26)/Keys!AQ26</f>
        <v>7.9686386315039034E-2</v>
      </c>
      <c r="F26">
        <f>(Data!O19+Data!M19-Keys!AR26)/Keys!AR26</f>
        <v>-2.7724665391969328E-2</v>
      </c>
      <c r="AP26">
        <f>Data!E18/(1+Data!D19)</f>
        <v>28.43</v>
      </c>
      <c r="AQ26">
        <f>Data!J18/(1+Data!I19)</f>
        <v>70.150000000000006</v>
      </c>
      <c r="AR26">
        <f>Data!O18/(1+Data!N19)</f>
        <v>31.38</v>
      </c>
    </row>
    <row r="27" spans="1:44" x14ac:dyDescent="0.25">
      <c r="A27">
        <f>Data!A20</f>
        <v>20130531</v>
      </c>
      <c r="B27">
        <f>(Data!E20+Data!C20-Keys!AP27)/AP27</f>
        <v>9.6014492753623129E-2</v>
      </c>
      <c r="D27">
        <f>(Data!J20+Data!H20-Keys!AQ27)/Keys!AQ27</f>
        <v>9.5854238183258583E-2</v>
      </c>
      <c r="F27">
        <f>(Data!O20+Data!M20-Keys!AR27)/Keys!AR27</f>
        <v>-1.606030809570639E-2</v>
      </c>
      <c r="AP27">
        <f>Data!E19/(1+Data!D20)</f>
        <v>27.6</v>
      </c>
      <c r="AQ27">
        <f>Data!J19/(1+Data!I20)</f>
        <v>75.739999999999995</v>
      </c>
      <c r="AR27">
        <f>Data!O19/(1+Data!N20)</f>
        <v>30.51</v>
      </c>
    </row>
    <row r="28" spans="1:44" x14ac:dyDescent="0.25">
      <c r="A28">
        <f>Data!A21</f>
        <v>20130628</v>
      </c>
      <c r="B28">
        <f>(Data!E21+Data!C21-Keys!AP28)/AP28</f>
        <v>-2.4543946932006584E-2</v>
      </c>
      <c r="D28">
        <f>(Data!J21+Data!H21-Keys!AQ28)/Keys!AQ28</f>
        <v>4.976332079135776E-3</v>
      </c>
      <c r="F28">
        <f>(Data!O21+Data!M21-Keys!AR28)/Keys!AR28</f>
        <v>-4.4600938967136211E-2</v>
      </c>
      <c r="AP28">
        <f>Data!E20/(1+Data!D21)</f>
        <v>30.15</v>
      </c>
      <c r="AQ28">
        <f>Data!J20/(1+Data!I21)</f>
        <v>82.39</v>
      </c>
      <c r="AR28">
        <f>Data!O20/(1+Data!N21)</f>
        <v>29.82</v>
      </c>
    </row>
    <row r="29" spans="1:44" x14ac:dyDescent="0.25">
      <c r="A29">
        <f>Data!A22</f>
        <v>20130731</v>
      </c>
      <c r="B29">
        <f>(Data!E22+Data!C22-Keys!AP29)/AP29</f>
        <v>6.2223733424005383E-2</v>
      </c>
      <c r="D29">
        <f>(Data!J22+Data!H22-Keys!AQ29)/Keys!AQ29</f>
        <v>0.1118357487922706</v>
      </c>
      <c r="F29">
        <f>(Data!O22+Data!M22-Keys!AR29)/Keys!AR29</f>
        <v>-3.159003159003154E-3</v>
      </c>
      <c r="AP29">
        <f>Data!E21/(1+Data!D22)</f>
        <v>29.41</v>
      </c>
      <c r="AQ29">
        <f>Data!J21/(1+Data!I22)</f>
        <v>82.8</v>
      </c>
      <c r="AR29">
        <f>Data!O21/(1+Data!N22)</f>
        <v>28.49</v>
      </c>
    </row>
    <row r="30" spans="1:44" x14ac:dyDescent="0.25">
      <c r="A30">
        <f>Data!A23</f>
        <v>20130830</v>
      </c>
      <c r="B30">
        <f>(Data!E23+Data!C23-Keys!AP30)/AP30</f>
        <v>5.4737516005121785E-2</v>
      </c>
      <c r="D30">
        <f>(Data!J23+Data!H23-Keys!AQ30)/Keys!AQ30</f>
        <v>8.907234412339704E-3</v>
      </c>
      <c r="F30">
        <f>(Data!O23+Data!M23-Keys!AR30)/Keys!AR30</f>
        <v>-2.8169014084507067E-2</v>
      </c>
      <c r="AP30">
        <f>Data!E22/(1+Data!D23)</f>
        <v>31.24</v>
      </c>
      <c r="AQ30">
        <f>Data!J22/(1+Data!I23)</f>
        <v>92.06</v>
      </c>
      <c r="AR30">
        <f>Data!O22/(1+Data!N23)</f>
        <v>28.4</v>
      </c>
    </row>
    <row r="31" spans="1:44" x14ac:dyDescent="0.25">
      <c r="A31">
        <f>Data!A24</f>
        <v>20130930</v>
      </c>
      <c r="B31">
        <f>(Data!E24+Data!C24-Keys!AP31)/AP31</f>
        <v>9.4368340943683446E-2</v>
      </c>
      <c r="D31">
        <f>(Data!J24+Data!H24-Keys!AQ31)/Keys!AQ31</f>
        <v>3.2404898666955777E-2</v>
      </c>
      <c r="F31">
        <f>(Data!O24+Data!M24-Keys!AR31)/Keys!AR31</f>
        <v>4.5653761869978091E-2</v>
      </c>
      <c r="AP31">
        <f>Data!E23/(1+Data!D24)</f>
        <v>32.85</v>
      </c>
      <c r="AQ31">
        <f>Data!J23/(1+Data!I24)</f>
        <v>92.27</v>
      </c>
      <c r="AR31">
        <f>Data!O23/(1+Data!N24)</f>
        <v>27.38</v>
      </c>
    </row>
    <row r="32" spans="1:44" x14ac:dyDescent="0.25">
      <c r="A32">
        <f>Data!A25</f>
        <v>20131031</v>
      </c>
      <c r="B32">
        <f>(Data!E25+Data!C25-Keys!AP32)/AP32</f>
        <v>0.10514603616133501</v>
      </c>
      <c r="D32">
        <f>(Data!J25+Data!H25-Keys!AQ32)/Keys!AQ32</f>
        <v>0.12859542305269786</v>
      </c>
      <c r="F32">
        <f>(Data!O25+Data!M25-Keys!AR32)/Keys!AR32</f>
        <v>7.0031435557107891E-2</v>
      </c>
      <c r="AP32">
        <f>Data!E24/(1+Data!D25)</f>
        <v>35.950000000000003</v>
      </c>
      <c r="AQ32">
        <f>Data!J24/(1+Data!I25)</f>
        <v>95.26</v>
      </c>
      <c r="AR32">
        <f>Data!O24/(1+Data!N25)</f>
        <v>28.63</v>
      </c>
    </row>
    <row r="33" spans="1:44" x14ac:dyDescent="0.25">
      <c r="A33">
        <f>Data!A26</f>
        <v>20131129</v>
      </c>
      <c r="B33">
        <f>(Data!E26+Data!C26-Keys!AP33)/AP33</f>
        <v>2.9952177196073619E-2</v>
      </c>
      <c r="D33">
        <f>(Data!J26+Data!H26-Keys!AQ33)/Keys!AQ33</f>
        <v>5.376244070319041E-2</v>
      </c>
      <c r="F33">
        <f>(Data!O26+Data!M26-Keys!AR33)/Keys!AR33</f>
        <v>-9.3703764589840588E-3</v>
      </c>
      <c r="AP33">
        <f>Data!E25/(1+Data!D26)</f>
        <v>39.729999999999997</v>
      </c>
      <c r="AQ33">
        <f>Data!J25/(1+Data!I26)</f>
        <v>107.51</v>
      </c>
      <c r="AR33">
        <f>Data!O25/(1+Data!N26)</f>
        <v>30.414999999999999</v>
      </c>
    </row>
    <row r="34" spans="1:44" x14ac:dyDescent="0.25">
      <c r="A34">
        <f>Data!A27</f>
        <v>20131231</v>
      </c>
      <c r="B34">
        <f>(Data!E27+Data!C27-Keys!AP34)/AP34</f>
        <v>6.3694267515923594E-2</v>
      </c>
      <c r="D34">
        <f>(Data!J27+Data!H27-Keys!AQ34)/Keys!AQ34</f>
        <v>1.7128150514731919E-2</v>
      </c>
      <c r="F34">
        <f>(Data!O27+Data!M27-Keys!AR34)/Keys!AR34</f>
        <v>4.7792897444407609E-2</v>
      </c>
      <c r="AP34">
        <f>Data!E26/(1+Data!D27)</f>
        <v>40.82</v>
      </c>
      <c r="AQ34">
        <f>Data!J26/(1+Data!I27)</f>
        <v>112.68</v>
      </c>
      <c r="AR34">
        <f>Data!O26/(1+Data!N27)</f>
        <v>30.13</v>
      </c>
    </row>
    <row r="35" spans="1:44" x14ac:dyDescent="0.25">
      <c r="A35">
        <f>Data!A28</f>
        <v>20140131</v>
      </c>
      <c r="B35">
        <f>(Data!E28+Data!C28-Keys!AP35)/AP35</f>
        <v>-5.6886227544910149E-2</v>
      </c>
      <c r="D35">
        <f>(Data!J28+Data!H28-Keys!AQ35)/Keys!AQ35</f>
        <v>8.2017275979408225E-3</v>
      </c>
      <c r="F35">
        <f>(Data!O28+Data!M28-Keys!AR35)/Keys!AR35</f>
        <v>-5.3531834019638937E-2</v>
      </c>
      <c r="AP35">
        <f>Data!E27/(1+Data!D28)</f>
        <v>43.42</v>
      </c>
      <c r="AQ35">
        <f>Data!J27/(1+Data!I28)</f>
        <v>114.61</v>
      </c>
      <c r="AR35">
        <f>Data!O27/(1+Data!N28)</f>
        <v>31.57</v>
      </c>
    </row>
    <row r="36" spans="1:44" x14ac:dyDescent="0.25">
      <c r="A36">
        <f>Data!A29</f>
        <v>20140228</v>
      </c>
      <c r="B36">
        <f>(Data!E29+Data!C29-Keys!AP36)/AP36</f>
        <v>7.2039072039071936E-2</v>
      </c>
      <c r="D36">
        <f>(Data!J29+Data!H29-Keys!AQ36)/Keys!AQ36</f>
        <v>5.2704456945045462E-2</v>
      </c>
      <c r="F36">
        <f>(Data!O29+Data!M29-Keys!AR36)/Keys!AR36</f>
        <v>-5.0200803212850928E-3</v>
      </c>
      <c r="AP36">
        <f>Data!E28/(1+Data!D29)</f>
        <v>40.950000000000003</v>
      </c>
      <c r="AQ36">
        <f>Data!J28/(1+Data!I29)</f>
        <v>115.55</v>
      </c>
      <c r="AR36">
        <f>Data!O28/(1+Data!N29)</f>
        <v>29.88</v>
      </c>
    </row>
    <row r="37" spans="1:44" x14ac:dyDescent="0.25">
      <c r="A37">
        <f>Data!A30</f>
        <v>20140331</v>
      </c>
      <c r="B37">
        <f>(Data!E30+Data!C30-Keys!AP37)/AP37</f>
        <v>-2.3462414578587727E-2</v>
      </c>
      <c r="D37">
        <f>(Data!J30+Data!H30-Keys!AQ37)/Keys!AQ37</f>
        <v>1.9416673552011852E-2</v>
      </c>
      <c r="F37">
        <f>(Data!O30+Data!M30-Keys!AR37)/Keys!AR37</f>
        <v>-5.4218908844459552E-3</v>
      </c>
      <c r="AP37">
        <f>Data!E29/(1+Data!D30)</f>
        <v>43.9</v>
      </c>
      <c r="AQ37">
        <f>Data!J29/(1+Data!I30)</f>
        <v>121.03</v>
      </c>
      <c r="AR37">
        <f>Data!O29/(1+Data!N30)</f>
        <v>29.51</v>
      </c>
    </row>
    <row r="38" spans="1:44" x14ac:dyDescent="0.25">
      <c r="A38">
        <f>Data!A31</f>
        <v>20140430</v>
      </c>
      <c r="B38">
        <f>(Data!E31+Data!C31-Keys!AP38)/AP38</f>
        <v>8.8868101028999665E-3</v>
      </c>
      <c r="D38">
        <f>(Data!J31+Data!H31-Keys!AQ38)/Keys!AQ38</f>
        <v>-1.5156427297779142E-2</v>
      </c>
      <c r="F38">
        <f>(Data!O31+Data!M31-Keys!AR38)/Keys!AR38</f>
        <v>1.7035775127768313E-2</v>
      </c>
      <c r="AP38">
        <f>Data!E30/(1+Data!D31)</f>
        <v>42.76</v>
      </c>
      <c r="AQ38">
        <f>Data!J30/(1+Data!I31)</f>
        <v>123.38</v>
      </c>
      <c r="AR38">
        <f>Data!O30/(1+Data!N31)</f>
        <v>29.35</v>
      </c>
    </row>
    <row r="39" spans="1:44" x14ac:dyDescent="0.25">
      <c r="A39">
        <f>Data!A32</f>
        <v>20140530</v>
      </c>
      <c r="B39">
        <f>(Data!E32+Data!C32-Keys!AP39)/AP39</f>
        <v>1.2517385257301788E-2</v>
      </c>
      <c r="D39">
        <f>(Data!J32+Data!H32-Keys!AQ39)/Keys!AQ39</f>
        <v>6.0900337420787985E-3</v>
      </c>
      <c r="F39">
        <f>(Data!O32+Data!M32-Keys!AR39)/Keys!AR39</f>
        <v>5.996649916247903E-2</v>
      </c>
      <c r="AP39">
        <f>Data!E31/(1+Data!D32)</f>
        <v>43.14</v>
      </c>
      <c r="AQ39">
        <f>Data!J31/(1+Data!I32)</f>
        <v>121.51</v>
      </c>
      <c r="AR39">
        <f>Data!O31/(1+Data!N32)</f>
        <v>29.85</v>
      </c>
    </row>
    <row r="40" spans="1:44" x14ac:dyDescent="0.25">
      <c r="A40">
        <f>Data!A33</f>
        <v>20140630</v>
      </c>
      <c r="B40">
        <f>(Data!E33+Data!C33-Keys!AP40)/AP40</f>
        <v>0.10370879120879123</v>
      </c>
      <c r="D40">
        <f>(Data!J33+Data!H33-Keys!AQ40)/Keys!AQ40</f>
        <v>-1.5795968737145224E-2</v>
      </c>
      <c r="F40">
        <f>(Data!O33+Data!M33-Keys!AR40)/Keys!AR40</f>
        <v>5.3150859325270583E-2</v>
      </c>
      <c r="AP40">
        <f>Data!E32/(1+Data!D33)</f>
        <v>43.68</v>
      </c>
      <c r="AQ40">
        <f>Data!J32/(1+Data!I33)</f>
        <v>121.55</v>
      </c>
      <c r="AR40">
        <f>Data!O32/(1+Data!N33)</f>
        <v>31.42</v>
      </c>
    </row>
    <row r="41" spans="1:44" x14ac:dyDescent="0.25">
      <c r="A41">
        <f>Data!A34</f>
        <v>20140731</v>
      </c>
      <c r="B41">
        <f>(Data!E34+Data!C34-Keys!AP41)/AP41</f>
        <v>-4.4282744282744334E-2</v>
      </c>
      <c r="D41">
        <f>(Data!J34+Data!H34-Keys!AQ41)/Keys!AQ41</f>
        <v>3.0427150380339385E-2</v>
      </c>
      <c r="F41">
        <f>(Data!O34+Data!M34-Keys!AR41)/Keys!AR41</f>
        <v>-5.3490480507706342E-2</v>
      </c>
      <c r="AP41">
        <f>Data!E33/(1+Data!D34)</f>
        <v>48.1</v>
      </c>
      <c r="AQ41">
        <f>Data!J33/(1+Data!I34)</f>
        <v>119.63</v>
      </c>
      <c r="AR41">
        <f>Data!O33/(1+Data!N34)</f>
        <v>33.090000000000003</v>
      </c>
    </row>
    <row r="42" spans="1:44" x14ac:dyDescent="0.25">
      <c r="A42">
        <f>Data!A35</f>
        <v>20140829</v>
      </c>
      <c r="B42">
        <f>(Data!E35+Data!C35-Keys!AP42)/AP42</f>
        <v>4.1113769849902122E-2</v>
      </c>
      <c r="D42">
        <f>(Data!J35+Data!H35-Keys!AQ42)/Keys!AQ42</f>
        <v>3.772207349720131E-2</v>
      </c>
      <c r="F42">
        <f>(Data!O35+Data!M35-Keys!AR42)/Keys!AR42</f>
        <v>9.3231162196679498E-2</v>
      </c>
      <c r="AP42">
        <f>Data!E34/(1+Data!D35)</f>
        <v>45.97</v>
      </c>
      <c r="AQ42">
        <f>Data!J34/(1+Data!I35)</f>
        <v>123.27</v>
      </c>
      <c r="AR42">
        <f>Data!O34/(1+Data!N35)</f>
        <v>31.32</v>
      </c>
    </row>
    <row r="43" spans="1:44" x14ac:dyDescent="0.25">
      <c r="A43">
        <f>Data!A36</f>
        <v>20140930</v>
      </c>
      <c r="B43">
        <f>(Data!E36+Data!C36-Keys!AP43)/AP43</f>
        <v>-5.8712912661930676E-2</v>
      </c>
      <c r="D43">
        <f>(Data!J36+Data!H36-Keys!AQ43)/Keys!AQ43</f>
        <v>3.5686134255620096E-2</v>
      </c>
      <c r="F43">
        <f>(Data!O36+Data!M36-Keys!AR43)/Keys!AR43</f>
        <v>-6.156111929307815E-2</v>
      </c>
      <c r="AP43">
        <f>Data!E35/(1+Data!D36)</f>
        <v>47.86</v>
      </c>
      <c r="AQ43">
        <f>Data!J35/(1+Data!I36)</f>
        <v>127.22</v>
      </c>
      <c r="AR43">
        <f>Data!O35/(1+Data!N36)</f>
        <v>33.950000000000003</v>
      </c>
    </row>
    <row r="44" spans="1:44" x14ac:dyDescent="0.25">
      <c r="A44">
        <f>Data!A37</f>
        <v>20141031</v>
      </c>
      <c r="B44">
        <f>(Data!E37+Data!C37-Keys!AP44)/AP44</f>
        <v>2.6702269692924913E-3</v>
      </c>
      <c r="D44">
        <f>(Data!J37+Data!H37-Keys!AQ44)/Keys!AQ44</f>
        <v>4.7055407335717191E-2</v>
      </c>
      <c r="F44">
        <f>(Data!O37+Data!M37-Keys!AR44)/Keys!AR44</f>
        <v>7.1876961707470155E-2</v>
      </c>
      <c r="AP44">
        <f>Data!E36/(1+Data!D37)</f>
        <v>44.94</v>
      </c>
      <c r="AQ44">
        <f>Data!J36/(1+Data!I37)</f>
        <v>131.75998999999999</v>
      </c>
      <c r="AR44">
        <f>Data!O36/(1+Data!N37)</f>
        <v>31.86</v>
      </c>
    </row>
    <row r="45" spans="1:44" x14ac:dyDescent="0.25">
      <c r="A45">
        <f>Data!A38</f>
        <v>20141128</v>
      </c>
      <c r="B45">
        <f>(Data!E38+Data!C38-Keys!AP45)/AP45</f>
        <v>-8.1225033288948145E-2</v>
      </c>
      <c r="D45">
        <f>(Data!J38+Data!H38-Keys!AQ45)/Keys!AQ45</f>
        <v>2.6601766700364699E-2</v>
      </c>
      <c r="F45">
        <f>(Data!O38+Data!M38-Keys!AR45)/Keys!AR45</f>
        <v>4.2823390431187325E-2</v>
      </c>
      <c r="AP45">
        <f>Data!E37/(1+Data!D38)</f>
        <v>45.06</v>
      </c>
      <c r="AQ45">
        <f>Data!J37/(1+Data!I38)</f>
        <v>137.96001000000001</v>
      </c>
      <c r="AR45">
        <f>Data!O37/(1+Data!N38)</f>
        <v>33.86</v>
      </c>
    </row>
    <row r="46" spans="1:44" x14ac:dyDescent="0.25">
      <c r="A46">
        <f>Data!A39</f>
        <v>20141231</v>
      </c>
      <c r="B46">
        <f>(Data!E39+Data!C39-Keys!AP46)/AP46</f>
        <v>-2.0048309178743919E-2</v>
      </c>
      <c r="D46">
        <f>(Data!J39+Data!H39-Keys!AQ46)/Keys!AQ46</f>
        <v>4.583843367902022E-2</v>
      </c>
      <c r="F46">
        <f>(Data!O39+Data!M39-Keys!AR46)/Keys!AR46</f>
        <v>1.6425941659586472E-2</v>
      </c>
      <c r="AP46">
        <f>Data!E38/(1+Data!D39)</f>
        <v>41.4</v>
      </c>
      <c r="AQ46">
        <f>Data!J38/(1+Data!I39)</f>
        <v>140.92999</v>
      </c>
      <c r="AR46">
        <f>Data!O38/(1+Data!N39)</f>
        <v>35.31</v>
      </c>
    </row>
    <row r="47" spans="1:44" x14ac:dyDescent="0.25">
      <c r="A47">
        <f>Data!A40</f>
        <v>20150130</v>
      </c>
      <c r="B47">
        <f>(Data!E40+Data!C40-Keys!AP47)/AP47</f>
        <v>-0.11492832427088479</v>
      </c>
      <c r="D47">
        <f>(Data!J40+Data!H40-Keys!AQ47)/Keys!AQ47</f>
        <v>6.4861930931542189E-2</v>
      </c>
      <c r="F47">
        <f>(Data!O40+Data!M40-Keys!AR47)/Keys!AR47</f>
        <v>-1.1145165784340804E-3</v>
      </c>
      <c r="AP47">
        <f>Data!E39/(1+Data!D40)</f>
        <v>40.46</v>
      </c>
      <c r="AQ47">
        <f>Data!J39/(1+Data!I40)</f>
        <v>147.38999999999999</v>
      </c>
      <c r="AR47">
        <f>Data!O39/(1+Data!N40)</f>
        <v>35.89</v>
      </c>
    </row>
    <row r="48" spans="1:44" x14ac:dyDescent="0.25">
      <c r="A48">
        <f>Data!A41</f>
        <v>20150227</v>
      </c>
      <c r="B48">
        <f>(Data!E41+Data!C41-Keys!AP48)/AP48</f>
        <v>0.14688634459648137</v>
      </c>
      <c r="D48">
        <f>(Data!J41+Data!H41-Keys!AQ48)/Keys!AQ48</f>
        <v>6.0274036317298579E-2</v>
      </c>
      <c r="F48">
        <f>(Data!O41+Data!M41-Keys!AR48)/Keys!AR48</f>
        <v>-1.2552301255230205E-2</v>
      </c>
      <c r="AP48">
        <f>Data!E40/(1+Data!D41)</f>
        <v>35.81</v>
      </c>
      <c r="AQ48">
        <f>Data!J40/(1+Data!I41)</f>
        <v>156.94999999999999</v>
      </c>
      <c r="AR48">
        <f>Data!O40/(1+Data!N41)</f>
        <v>35.85</v>
      </c>
    </row>
    <row r="49" spans="1:44" x14ac:dyDescent="0.25">
      <c r="A49">
        <f>Data!A42</f>
        <v>20150331</v>
      </c>
      <c r="B49">
        <f>(Data!E42+Data!C42-Keys!AP49)/AP49</f>
        <v>-2.5364012661310102E-2</v>
      </c>
      <c r="D49">
        <f>(Data!J42+Data!H42-Keys!AQ49)/Keys!AQ49</f>
        <v>-2.8664532697813487E-2</v>
      </c>
      <c r="F49">
        <f>(Data!O42+Data!M42-Keys!AR49)/Keys!AR49</f>
        <v>-5.5824551409854768E-2</v>
      </c>
      <c r="AP49">
        <f>Data!E41/(1+Data!D42)</f>
        <v>41.07</v>
      </c>
      <c r="AQ49">
        <f>Data!J41/(1+Data!I42)</f>
        <v>165.71001000000001</v>
      </c>
      <c r="AR49">
        <f>Data!O41/(1+Data!N42)</f>
        <v>35.11</v>
      </c>
    </row>
    <row r="50" spans="1:44" x14ac:dyDescent="0.25">
      <c r="A50">
        <f>Data!A43</f>
        <v>20150430</v>
      </c>
      <c r="B50">
        <f>(Data!E43+Data!C43-Keys!AP50)/AP50</f>
        <v>-6.5146579804559769E-3</v>
      </c>
      <c r="D50">
        <f>(Data!J43+Data!H43-Keys!AQ50)/Keys!AQ50</f>
        <v>-4.2992169297206319E-2</v>
      </c>
      <c r="F50">
        <f>(Data!O43+Data!M43-Keys!AR50)/Keys!AR50</f>
        <v>-4.9472096530919975E-2</v>
      </c>
      <c r="AP50">
        <f>Data!E42/(1+Data!D43)</f>
        <v>39.909999999999997</v>
      </c>
      <c r="AQ50">
        <f>Data!J42/(1+Data!I43)</f>
        <v>160.96001000000001</v>
      </c>
      <c r="AR50">
        <f>Data!O42/(1+Data!N43)</f>
        <v>33.15</v>
      </c>
    </row>
    <row r="51" spans="1:44" x14ac:dyDescent="0.25">
      <c r="A51">
        <f>Data!A44</f>
        <v>20150529</v>
      </c>
      <c r="B51">
        <f>(Data!E44+Data!C44-Keys!AP51)/AP51</f>
        <v>7.6418663303909243E-2</v>
      </c>
      <c r="D51">
        <f>(Data!J44+Data!H44-Keys!AQ51)/Keys!AQ51</f>
        <v>3.8561415123436624E-2</v>
      </c>
      <c r="F51">
        <f>(Data!O44+Data!M44-Keys!AR51)/Keys!AR51</f>
        <v>3.3322754681053654E-2</v>
      </c>
      <c r="AP51">
        <f>Data!E43/(1+Data!D44)</f>
        <v>39.65</v>
      </c>
      <c r="AQ51">
        <f>Data!J43/(1+Data!I44)</f>
        <v>154.03998999999999</v>
      </c>
      <c r="AR51">
        <f>Data!O43/(1+Data!N44)</f>
        <v>31.51</v>
      </c>
    </row>
    <row r="52" spans="1:44" x14ac:dyDescent="0.25">
      <c r="A52">
        <f>Data!A45</f>
        <v>20150630</v>
      </c>
      <c r="B52">
        <f>(Data!E45+Data!C45-Keys!AP52)/AP52</f>
        <v>-1.6909559512652259E-2</v>
      </c>
      <c r="D52">
        <f>(Data!J45+Data!H45-Keys!AQ52)/Keys!AQ52</f>
        <v>-3.4551453357925714E-3</v>
      </c>
      <c r="F52">
        <f>(Data!O45+Data!M45-Keys!AR52)/Keys!AR52</f>
        <v>-2.3648648648648744E-2</v>
      </c>
      <c r="AP52">
        <f>Data!E44/(1+Data!D45)</f>
        <v>42.68</v>
      </c>
      <c r="AQ52">
        <f>Data!J44/(1+Data!I45)</f>
        <v>159.17999</v>
      </c>
      <c r="AR52">
        <f>Data!O44/(1+Data!N45)</f>
        <v>32.56</v>
      </c>
    </row>
    <row r="53" spans="1:44" x14ac:dyDescent="0.25">
      <c r="A53">
        <f>Data!A46</f>
        <v>20150731</v>
      </c>
      <c r="B53">
        <f>(Data!E46+Data!C46-Keys!AP53)/AP53</f>
        <v>-9.1778202676864318E-2</v>
      </c>
      <c r="D53">
        <f>(Data!J46+Data!H46-Keys!AQ53)/Keys!AQ53</f>
        <v>9.0651137867994655E-2</v>
      </c>
      <c r="F53">
        <f>(Data!O46+Data!M46-Keys!AR53)/Keys!AR53</f>
        <v>-2.5714285714285672E-2</v>
      </c>
      <c r="AP53">
        <f>Data!E45/(1+Data!D46)</f>
        <v>41.84</v>
      </c>
      <c r="AQ53">
        <f>Data!J45/(1+Data!I46)</f>
        <v>158.63</v>
      </c>
      <c r="AR53">
        <f>Data!O45/(1+Data!N46)</f>
        <v>31.5</v>
      </c>
    </row>
    <row r="54" spans="1:44" x14ac:dyDescent="0.25">
      <c r="A54">
        <f>Data!A47</f>
        <v>20150831</v>
      </c>
      <c r="B54">
        <f>(Data!E47+Data!C47-Keys!AP54)/AP54</f>
        <v>-1.5526315789473773E-2</v>
      </c>
      <c r="D54">
        <f>(Data!J47+Data!H47-Keys!AQ54)/Keys!AQ54</f>
        <v>-4.8956594934199842E-2</v>
      </c>
      <c r="F54">
        <f>(Data!O47+Data!M47-Keys!AR54)/Keys!AR54</f>
        <v>-8.9605734767025089E-2</v>
      </c>
      <c r="AP54">
        <f>Data!E46/(1+Data!D47)</f>
        <v>38</v>
      </c>
      <c r="AQ54">
        <f>Data!J46/(1+Data!I47)</f>
        <v>173.00998999999999</v>
      </c>
      <c r="AR54">
        <f>Data!O46/(1+Data!N47)</f>
        <v>30.69</v>
      </c>
    </row>
    <row r="55" spans="1:44" x14ac:dyDescent="0.25">
      <c r="A55">
        <f>Data!A48</f>
        <v>20150930</v>
      </c>
      <c r="B55">
        <f>(Data!E48+Data!C48-Keys!AP55)/AP55</f>
        <v>-0.10322641005078854</v>
      </c>
      <c r="D55">
        <f>(Data!J48+Data!H48-Keys!AQ55)/Keys!AQ55</f>
        <v>1.3496945554113354E-2</v>
      </c>
      <c r="F55">
        <f>(Data!O48+Data!M48-Keys!AR55)/Keys!AR55</f>
        <v>-1.0379384395132522E-2</v>
      </c>
      <c r="AP55">
        <f>Data!E47/(1+Data!D48)</f>
        <v>37.409999999999997</v>
      </c>
      <c r="AQ55">
        <f>Data!J47/(1+Data!I48)</f>
        <v>163.74001000000001</v>
      </c>
      <c r="AR55">
        <f>Data!O47/(1+Data!N48)</f>
        <v>27.94</v>
      </c>
    </row>
    <row r="56" spans="1:44" x14ac:dyDescent="0.25">
      <c r="A56">
        <f>Data!A49</f>
        <v>20151030</v>
      </c>
      <c r="B56">
        <f>(Data!E49+Data!C49-Keys!AP56)/AP56</f>
        <v>0.18396649715824107</v>
      </c>
      <c r="D56">
        <f>(Data!J49+Data!H49-Keys!AQ56)/Keys!AQ56</f>
        <v>0.13136486893642671</v>
      </c>
      <c r="F56">
        <f>(Data!O49+Data!M49-Keys!AR56)/Keys!AR56</f>
        <v>8.4125822970007216E-2</v>
      </c>
      <c r="AP56">
        <f>Data!E48/(1+Data!D49)</f>
        <v>33.43</v>
      </c>
      <c r="AQ56">
        <f>Data!J48/(1+Data!I49)</f>
        <v>165.95</v>
      </c>
      <c r="AR56">
        <f>Data!O48/(1+Data!N49)</f>
        <v>27.34</v>
      </c>
    </row>
    <row r="57" spans="1:44" x14ac:dyDescent="0.25">
      <c r="A57">
        <f>Data!A50</f>
        <v>20151130</v>
      </c>
      <c r="B57">
        <f>(Data!E50+Data!C50-Keys!AP57)/AP57</f>
        <v>3.2844871147044608E-3</v>
      </c>
      <c r="D57">
        <f>(Data!J50+Data!H50-Keys!AQ57)/Keys!AQ57</f>
        <v>-3.1424766977362181E-3</v>
      </c>
      <c r="F57">
        <f>(Data!O50+Data!M50-Keys!AR57)/Keys!AR57</f>
        <v>9.682918513467452E-2</v>
      </c>
      <c r="AP57">
        <f>Data!E49/(1+Data!D50)</f>
        <v>39.58</v>
      </c>
      <c r="AQ57">
        <f>Data!J49/(1+Data!I50)</f>
        <v>187.75</v>
      </c>
      <c r="AR57">
        <f>Data!O49/(1+Data!N50)</f>
        <v>29.33</v>
      </c>
    </row>
    <row r="58" spans="1:44" x14ac:dyDescent="0.25">
      <c r="A58">
        <f>Data!A51</f>
        <v>20151231</v>
      </c>
      <c r="B58">
        <f>(Data!E51+Data!C51-Keys!AP58)/AP58</f>
        <v>-8.2389826240241826E-2</v>
      </c>
      <c r="D58">
        <f>(Data!J51+Data!H51-Keys!AQ58)/Keys!AQ58</f>
        <v>1.3146597982399595E-2</v>
      </c>
      <c r="F58">
        <f>(Data!O51+Data!M51-Keys!AR58)/Keys!AR58</f>
        <v>-6.8075847062480613E-2</v>
      </c>
      <c r="AP58">
        <f>Data!E50/(1+Data!D51)</f>
        <v>39.71</v>
      </c>
      <c r="AQ58">
        <f>Data!J50/(1+Data!I51)</f>
        <v>186.36</v>
      </c>
      <c r="AR58">
        <f>Data!O50/(1+Data!N51)</f>
        <v>32.17</v>
      </c>
    </row>
    <row r="59" spans="1:44" x14ac:dyDescent="0.25">
      <c r="A59">
        <f>Data!A52</f>
        <v>20160129</v>
      </c>
      <c r="B59">
        <f>(Data!E52+Data!C52-Keys!AP59)/AP59</f>
        <v>-0.10655286343612327</v>
      </c>
      <c r="D59">
        <f>(Data!J52+Data!H52-Keys!AQ59)/Keys!AQ59</f>
        <v>-1.9861236163338805E-2</v>
      </c>
      <c r="F59">
        <f>(Data!O52+Data!M52-Keys!AR59)/Keys!AR59</f>
        <v>-0.14576384256170782</v>
      </c>
      <c r="AP59">
        <f>Data!E51/(1+Data!D52)</f>
        <v>36.32</v>
      </c>
      <c r="AQ59">
        <f>Data!J51/(1+Data!I52)</f>
        <v>188.81</v>
      </c>
      <c r="AR59">
        <f>Data!O51/(1+Data!N52)</f>
        <v>29.98</v>
      </c>
    </row>
    <row r="60" spans="1:44" x14ac:dyDescent="0.25">
      <c r="A60">
        <f>Data!A53</f>
        <v>20160229</v>
      </c>
      <c r="B60">
        <f>(Data!E53+Data!C53-Keys!AP60)/AP60</f>
        <v>8.6594761171032195E-2</v>
      </c>
      <c r="D60">
        <f>(Data!J53+Data!H53-Keys!AQ60)/Keys!AQ60</f>
        <v>4.3013076839943848E-2</v>
      </c>
      <c r="F60">
        <f>(Data!O53+Data!M53-Keys!AR60)/Keys!AR60</f>
        <v>1.4447481452557634E-2</v>
      </c>
      <c r="AP60">
        <f>Data!E52/(1+Data!D53)</f>
        <v>32.450000000000003</v>
      </c>
      <c r="AQ60">
        <f>Data!J52/(1+Data!I53)</f>
        <v>185.06</v>
      </c>
      <c r="AR60">
        <f>Data!O52/(1+Data!N53)</f>
        <v>25.61</v>
      </c>
    </row>
    <row r="61" spans="1:44" x14ac:dyDescent="0.25">
      <c r="A61">
        <f>Data!A54</f>
        <v>20160331</v>
      </c>
      <c r="B61">
        <f>(Data!E54+Data!C54-Keys!AP61)/AP61</f>
        <v>4.9744753261486245E-2</v>
      </c>
      <c r="D61">
        <f>(Data!J54+Data!H54-Keys!AQ61)/Keys!AQ61</f>
        <v>2.9549422536676744E-2</v>
      </c>
      <c r="F61">
        <f>(Data!O54+Data!M54-Keys!AR61)/Keys!AR61</f>
        <v>0.20438799076212466</v>
      </c>
      <c r="AP61">
        <f>Data!E53/(1+Data!D54)</f>
        <v>35.26</v>
      </c>
      <c r="AQ61">
        <f>Data!J53/(1+Data!I54)</f>
        <v>192.22</v>
      </c>
      <c r="AR61">
        <f>Data!O53/(1+Data!N54)</f>
        <v>25.98</v>
      </c>
    </row>
    <row r="62" spans="1:44" x14ac:dyDescent="0.25">
      <c r="A62">
        <f>Data!A55</f>
        <v>20160429</v>
      </c>
      <c r="B62">
        <f>(Data!E55+Data!C55-Keys!AP62)/AP62</f>
        <v>4.0119273515857867E-2</v>
      </c>
      <c r="D62">
        <f>(Data!J55+Data!H55-Keys!AQ62)/Keys!AQ62</f>
        <v>4.2243559486789185E-2</v>
      </c>
      <c r="F62">
        <f>(Data!O55+Data!M55-Keys!AR62)/Keys!AR62</f>
        <v>3.6797934151065109E-2</v>
      </c>
      <c r="AP62">
        <f>Data!E54/(1+Data!D55)</f>
        <v>36.89</v>
      </c>
      <c r="AQ62">
        <f>Data!J54/(1+Data!I55)</f>
        <v>197.89999</v>
      </c>
      <c r="AR62">
        <f>Data!O54/(1+Data!N55)</f>
        <v>30.98</v>
      </c>
    </row>
    <row r="63" spans="1:44" x14ac:dyDescent="0.25">
      <c r="A63">
        <f>Data!A56</f>
        <v>20160531</v>
      </c>
      <c r="B63">
        <f>(Data!E56+Data!C56-Keys!AP63)/AP63</f>
        <v>-7.4537399009642943E-2</v>
      </c>
      <c r="D63">
        <f>(Data!J56+Data!H56-Keys!AQ63)/Keys!AQ63</f>
        <v>3.1077331090726808E-2</v>
      </c>
      <c r="F63">
        <f>(Data!O56+Data!M56-Keys!AR63)/Keys!AR63</f>
        <v>-1.9302615193026073E-2</v>
      </c>
      <c r="AP63">
        <f>Data!E55/(1+Data!D56)</f>
        <v>38.369999999999997</v>
      </c>
      <c r="AQ63">
        <f>Data!J55/(1+Data!I56)</f>
        <v>206.25998999999999</v>
      </c>
      <c r="AR63">
        <f>Data!O55/(1+Data!N56)</f>
        <v>32.119999999999997</v>
      </c>
    </row>
    <row r="64" spans="1:44" x14ac:dyDescent="0.25">
      <c r="A64">
        <f>Data!A57</f>
        <v>20160630</v>
      </c>
      <c r="B64">
        <f>(Data!E57+Data!C57-Keys!AP64)/AP64</f>
        <v>-9.5916643199098817E-2</v>
      </c>
      <c r="D64">
        <f>(Data!J57+Data!H57-Keys!AQ64)/Keys!AQ64</f>
        <v>4.9419288098932715E-2</v>
      </c>
      <c r="F64">
        <f>(Data!O57+Data!M57-Keys!AR64)/Keys!AR64</f>
        <v>-4.5079365079365136E-2</v>
      </c>
      <c r="AP64">
        <f>Data!E56/(1+Data!D57)</f>
        <v>35.51</v>
      </c>
      <c r="AQ64">
        <f>Data!J56/(1+Data!I57)</f>
        <v>212.67</v>
      </c>
      <c r="AR64">
        <f>Data!O56/(1+Data!N57)</f>
        <v>31.5</v>
      </c>
    </row>
    <row r="65" spans="1:44" x14ac:dyDescent="0.25">
      <c r="A65">
        <f>Data!A58</f>
        <v>20160729</v>
      </c>
      <c r="B65">
        <f>(Data!E58+Data!C58-Keys!AP65)/AP65</f>
        <v>-8.4427767354596488E-3</v>
      </c>
      <c r="D65">
        <f>(Data!J58+Data!H58-Keys!AQ65)/Keys!AQ65</f>
        <v>-2.5418391218283272E-2</v>
      </c>
      <c r="F65">
        <f>(Data!O58+Data!M58-Keys!AR65)/Keys!AR65</f>
        <v>9.9093046691299938E-2</v>
      </c>
      <c r="AP65">
        <f>Data!E57/(1+Data!D58)</f>
        <v>31.98</v>
      </c>
      <c r="AQ65">
        <f>Data!J57/(1+Data!I58)</f>
        <v>222.28</v>
      </c>
      <c r="AR65">
        <f>Data!O57/(1+Data!N58)</f>
        <v>29.77</v>
      </c>
    </row>
    <row r="66" spans="1:44" x14ac:dyDescent="0.25">
      <c r="A66">
        <f>Data!A59</f>
        <v>20160831</v>
      </c>
      <c r="B66">
        <f>(Data!E59+Data!C59-Keys!AP66)/AP66</f>
        <v>0.14096499526963099</v>
      </c>
      <c r="D66">
        <f>(Data!J59+Data!H59-Keys!AQ66)/Keys!AQ66</f>
        <v>-1.6895120712735971E-2</v>
      </c>
      <c r="F66">
        <f>(Data!O59+Data!M59-Keys!AR66)/Keys!AR66</f>
        <v>-2.6589242053789652E-2</v>
      </c>
      <c r="AP66">
        <f>Data!E58/(1+Data!D59)</f>
        <v>31.71</v>
      </c>
      <c r="AQ66">
        <f>Data!J58/(1+Data!I59)</f>
        <v>216.63</v>
      </c>
      <c r="AR66">
        <f>Data!O58/(1+Data!N59)</f>
        <v>32.72</v>
      </c>
    </row>
    <row r="67" spans="1:44" x14ac:dyDescent="0.25">
      <c r="A67">
        <f>Data!A60</f>
        <v>20160930</v>
      </c>
      <c r="B67">
        <f>(Data!E60+Data!C60-Keys!AP67)/AP67</f>
        <v>-5.9701492537311768E-3</v>
      </c>
      <c r="D67">
        <f>(Data!J60+Data!H60-Keys!AQ67)/Keys!AQ67</f>
        <v>8.8649498342551706E-3</v>
      </c>
      <c r="F67">
        <f>(Data!O60+Data!M60-Keys!AR67)/Keys!AR67</f>
        <v>1.25588697017268E-2</v>
      </c>
      <c r="AP67">
        <f>Data!E59/(1+Data!D60)</f>
        <v>36.18</v>
      </c>
      <c r="AQ67">
        <f>Data!J59/(1+Data!I60)</f>
        <v>212.07001</v>
      </c>
      <c r="AR67">
        <f>Data!O59/(1+Data!N60)</f>
        <v>31.85</v>
      </c>
    </row>
    <row r="68" spans="1:44" x14ac:dyDescent="0.25">
      <c r="A68">
        <f>Data!A61</f>
        <v>20161031</v>
      </c>
      <c r="B68">
        <f>(Data!E61+Data!C61-Keys!AP68)/AP68</f>
        <v>-1.7299107142857269E-2</v>
      </c>
      <c r="D68">
        <f>(Data!J61+Data!H61-Keys!AQ68)/Keys!AQ68</f>
        <v>7.034353820986218E-2</v>
      </c>
      <c r="F68">
        <f>(Data!O61+Data!M61-Keys!AR68)/Keys!AR68</f>
        <v>-5.3224796493425257E-2</v>
      </c>
      <c r="AP68">
        <f>Data!E60/(1+Data!D61)</f>
        <v>35.840000000000003</v>
      </c>
      <c r="AQ68">
        <f>Data!J60/(1+Data!I61)</f>
        <v>213.95</v>
      </c>
      <c r="AR68">
        <f>Data!O60/(1+Data!N61)</f>
        <v>31.94</v>
      </c>
    </row>
    <row r="69" spans="1:44" x14ac:dyDescent="0.25">
      <c r="A69">
        <f>Data!A62</f>
        <v>20161130</v>
      </c>
      <c r="B69">
        <f>(Data!E62+Data!C62-Keys!AP69)/AP69</f>
        <v>0.14622373651334467</v>
      </c>
      <c r="D69">
        <f>(Data!J62+Data!H62-Keys!AQ69)/Keys!AQ69</f>
        <v>9.0174628820960709E-2</v>
      </c>
      <c r="F69">
        <f>(Data!O62+Data!M62-Keys!AR69)/Keys!AR69</f>
        <v>3.0070163715335736E-2</v>
      </c>
      <c r="AP69">
        <f>Data!E61/(1+Data!D62)</f>
        <v>35.22</v>
      </c>
      <c r="AQ69">
        <f>Data!J61/(1+Data!I62)</f>
        <v>229</v>
      </c>
      <c r="AR69">
        <f>Data!O61/(1+Data!N62)</f>
        <v>29.93</v>
      </c>
    </row>
    <row r="70" spans="1:44" x14ac:dyDescent="0.25">
      <c r="A70">
        <f>Data!A63</f>
        <v>20161230</v>
      </c>
      <c r="B70">
        <f>(Data!E63+Data!C63-Keys!AP70)/AP70</f>
        <v>-4.151597721079997E-2</v>
      </c>
      <c r="D70">
        <f>(Data!J63+Data!H63-Keys!AQ70)/Keys!AQ70</f>
        <v>-6.4770641488910069E-2</v>
      </c>
      <c r="F70">
        <f>(Data!O63+Data!M63-Keys!AR70)/Keys!AR70</f>
        <v>-2.4002594875121585E-2</v>
      </c>
      <c r="AP70">
        <f>Data!E62/(1+Data!D63)</f>
        <v>40.369999999999997</v>
      </c>
      <c r="AQ70">
        <f>Data!J62/(1+Data!I63)</f>
        <v>249.64999</v>
      </c>
      <c r="AR70">
        <f>Data!O62/(1+Data!N63)</f>
        <v>30.83</v>
      </c>
    </row>
    <row r="71" spans="1:44" x14ac:dyDescent="0.25">
      <c r="A71">
        <f>Data!A64</f>
        <v>20170131</v>
      </c>
      <c r="B71">
        <f>(Data!E64+Data!C64-Keys!AP71)/AP71</f>
        <v>5.9631838216230158E-2</v>
      </c>
      <c r="D71">
        <f>(Data!J64+Data!H64-Keys!AQ71)/Keys!AQ71</f>
        <v>-1.5048585432969301E-2</v>
      </c>
      <c r="F71">
        <f>(Data!O64+Data!M64-Keys!AR71)/Keys!AR71</f>
        <v>4.1209704220671266E-2</v>
      </c>
      <c r="AP71">
        <f>Data!E63/(1+Data!D64)</f>
        <v>38.57</v>
      </c>
      <c r="AQ71">
        <f>Data!J63/(1+Data!I64)</f>
        <v>232.58</v>
      </c>
      <c r="AR71">
        <f>Data!O63/(1+Data!N64)</f>
        <v>30.09</v>
      </c>
    </row>
    <row r="72" spans="1:44" x14ac:dyDescent="0.25">
      <c r="A72">
        <f>Data!A65</f>
        <v>20170228</v>
      </c>
      <c r="B72">
        <f>(Data!E65+Data!C65-Keys!AP72)/AP72</f>
        <v>2.4467824810374705E-3</v>
      </c>
      <c r="D72">
        <f>(Data!J65+Data!H65-Keys!AQ72)/Keys!AQ72</f>
        <v>7.8618823118561151E-2</v>
      </c>
      <c r="F72">
        <f>(Data!O65+Data!M65-Keys!AR72)/Keys!AR72</f>
        <v>7.6284711139482944E-2</v>
      </c>
      <c r="AP72">
        <f>Data!E64/(1+Data!D65)</f>
        <v>40.869999999999997</v>
      </c>
      <c r="AQ72">
        <f>Data!J64/(1+Data!I65)</f>
        <v>229.08</v>
      </c>
      <c r="AR72">
        <f>Data!O64/(1+Data!N65)</f>
        <v>31.33</v>
      </c>
    </row>
    <row r="73" spans="1:44" x14ac:dyDescent="0.25">
      <c r="A73">
        <f>Data!A66</f>
        <v>20170331</v>
      </c>
      <c r="B73">
        <f>(Data!E66+Data!C66-Keys!AP73)/AP73</f>
        <v>4.3446424212839731E-3</v>
      </c>
      <c r="D73">
        <f>(Data!J66+Data!H66-Keys!AQ73)/Keys!AQ73</f>
        <v>-3.3793354648103908E-2</v>
      </c>
      <c r="F73">
        <f>(Data!O66+Data!M66-Keys!AR73)/Keys!AR73</f>
        <v>1.6903914590747339E-2</v>
      </c>
      <c r="AP73">
        <f>Data!E65/(1+Data!D66)</f>
        <v>40.97</v>
      </c>
      <c r="AQ73">
        <f>Data!J65/(1+Data!I66)</f>
        <v>247.09</v>
      </c>
      <c r="AR73">
        <f>Data!O65/(1+Data!N66)</f>
        <v>33.72</v>
      </c>
    </row>
    <row r="74" spans="1:44" x14ac:dyDescent="0.25">
      <c r="A74">
        <f>Data!A67</f>
        <v>20170428</v>
      </c>
      <c r="B74">
        <f>(Data!E67+Data!C67-Keys!AP74)/AP74</f>
        <v>2.7059970745977557E-2</v>
      </c>
      <c r="D74">
        <f>(Data!J67+Data!H67-Keys!AQ74)/Keys!AQ74</f>
        <v>3.4140640766902153E-2</v>
      </c>
      <c r="F74">
        <f>(Data!O67+Data!M67-Keys!AR74)/Keys!AR74</f>
        <v>-3.2371983519717319E-3</v>
      </c>
      <c r="AP74">
        <f>Data!E66/(1+Data!D67)</f>
        <v>41.02</v>
      </c>
      <c r="AQ74">
        <f>Data!J66/(1+Data!I67)</f>
        <v>237.84</v>
      </c>
      <c r="AR74">
        <f>Data!O66/(1+Data!N67)</f>
        <v>33.979999999999997</v>
      </c>
    </row>
    <row r="75" spans="1:44" x14ac:dyDescent="0.25">
      <c r="A75">
        <f>Data!A68</f>
        <v>20170531</v>
      </c>
      <c r="B75">
        <f>(Data!E68+Data!C68-Keys!AP75)/AP75</f>
        <v>-9.7792546878708864E-2</v>
      </c>
      <c r="D75">
        <f>(Data!J68+Data!H68-Keys!AQ75)/Keys!AQ75</f>
        <v>5.3911162225111373E-2</v>
      </c>
      <c r="F75">
        <f>(Data!O68+Data!M68-Keys!AR75)/Keys!AR75</f>
        <v>-2.6867434307646786E-2</v>
      </c>
      <c r="AP75">
        <f>Data!E67/(1+Data!D68)</f>
        <v>42.13</v>
      </c>
      <c r="AQ75">
        <f>Data!J67/(1+Data!I68)</f>
        <v>245.96001000000001</v>
      </c>
      <c r="AR75">
        <f>Data!O67/(1+Data!N68)</f>
        <v>33.869999999999997</v>
      </c>
    </row>
    <row r="76" spans="1:44" x14ac:dyDescent="0.25">
      <c r="A76">
        <f>Data!A69</f>
        <v>20170630</v>
      </c>
      <c r="B76">
        <f>(Data!E69+Data!C69-Keys!AP76)/AP76</f>
        <v>6.0457774269929015E-2</v>
      </c>
      <c r="D76">
        <f>(Data!J69+Data!H69-Keys!AQ76)/Keys!AQ76</f>
        <v>-5.8252063883960431E-3</v>
      </c>
      <c r="F76">
        <f>(Data!O69+Data!M69-Keys!AR76)/Keys!AR76</f>
        <v>2.5788834951456355E-2</v>
      </c>
      <c r="AP76">
        <f>Data!E68/(1+Data!D69)</f>
        <v>38.01</v>
      </c>
      <c r="AQ76">
        <f>Data!J68/(1+Data!I69)</f>
        <v>259.22000000000003</v>
      </c>
      <c r="AR76">
        <f>Data!O68/(1+Data!N69)</f>
        <v>32.96</v>
      </c>
    </row>
    <row r="77" spans="1:44" x14ac:dyDescent="0.25">
      <c r="A77">
        <f>Data!A70</f>
        <v>20170731</v>
      </c>
      <c r="B77">
        <f>(Data!E70+Data!C70-Keys!AP77)/AP77</f>
        <v>2.0408163265306131E-2</v>
      </c>
      <c r="D77">
        <f>(Data!J70+Data!H70-Keys!AQ77)/Keys!AQ77</f>
        <v>2.5008804682669306E-2</v>
      </c>
      <c r="F77">
        <f>(Data!O70+Data!M70-Keys!AR77)/Keys!AR77</f>
        <v>-1.432835820895513E-2</v>
      </c>
      <c r="AP77">
        <f>Data!E69/(1+Data!D70)</f>
        <v>40.18</v>
      </c>
      <c r="AQ77">
        <f>Data!J69/(1+Data!I70)</f>
        <v>256.70999</v>
      </c>
      <c r="AR77">
        <f>Data!O69/(1+Data!N70)</f>
        <v>33.5</v>
      </c>
    </row>
    <row r="78" spans="1:44" x14ac:dyDescent="0.25">
      <c r="A78">
        <f>Data!A71</f>
        <v>20170831</v>
      </c>
      <c r="B78">
        <f>(Data!E71+Data!C71-Keys!AP78)/AP78</f>
        <v>-1.5609756097560989E-2</v>
      </c>
      <c r="D78">
        <f>(Data!J71+Data!H71-Keys!AQ78)/Keys!AQ78</f>
        <v>3.830802265040098E-2</v>
      </c>
      <c r="F78">
        <f>(Data!O71+Data!M71-Keys!AR78)/Keys!AR78</f>
        <v>-1.2416717141126701E-2</v>
      </c>
      <c r="AP78">
        <f>Data!E70/(1+Data!D71)</f>
        <v>41</v>
      </c>
      <c r="AQ78">
        <f>Data!J70/(1+Data!I71)</f>
        <v>263.13</v>
      </c>
      <c r="AR78">
        <f>Data!O70/(1+Data!N71)</f>
        <v>33.020000000000003</v>
      </c>
    </row>
    <row r="79" spans="1:44" x14ac:dyDescent="0.25">
      <c r="A79">
        <f>Data!A72</f>
        <v>20170929</v>
      </c>
      <c r="B79">
        <f>(Data!E72+Data!C72-Keys!AP79)/AP79</f>
        <v>0.10004955401387522</v>
      </c>
      <c r="D79">
        <f>(Data!J72+Data!H72-Keys!AQ79)/Keys!AQ79</f>
        <v>5.6978107232581808E-2</v>
      </c>
      <c r="F79">
        <f>(Data!O72+Data!M72-Keys!AR79)/Keys!AR79</f>
        <v>5.3051211284882063E-2</v>
      </c>
      <c r="AP79">
        <f>Data!E71/(1+Data!D72)</f>
        <v>40.36</v>
      </c>
      <c r="AQ79">
        <f>Data!J71/(1+Data!I72)</f>
        <v>272.20999</v>
      </c>
      <c r="AR79">
        <f>Data!O71/(1+Data!N72)</f>
        <v>32.61</v>
      </c>
    </row>
    <row r="80" spans="1:44" x14ac:dyDescent="0.25">
      <c r="A80">
        <f>Data!A73</f>
        <v>20171031</v>
      </c>
      <c r="B80">
        <f>(Data!E73+Data!C73-Keys!AP80)/AP80</f>
        <v>5.3535125367065672E-2</v>
      </c>
      <c r="D80">
        <f>(Data!J73+Data!H73-Keys!AQ80)/Keys!AQ80</f>
        <v>2.714444598915593E-2</v>
      </c>
      <c r="F80">
        <f>(Data!O73+Data!M73-Keys!AR80)/Keys!AR80</f>
        <v>5.524537173082561E-2</v>
      </c>
      <c r="AP80">
        <f>Data!E72/(1+Data!D73)</f>
        <v>44.27</v>
      </c>
      <c r="AQ80">
        <f>Data!J72/(1+Data!I73)</f>
        <v>287.72000000000003</v>
      </c>
      <c r="AR80">
        <f>Data!O72/(1+Data!N73)</f>
        <v>34.03</v>
      </c>
    </row>
    <row r="81" spans="1:44" x14ac:dyDescent="0.25">
      <c r="A81">
        <f>Data!A74</f>
        <v>20171130</v>
      </c>
      <c r="B81">
        <f>(Data!E74+Data!C74-Keys!AP81)/AP81</f>
        <v>0.16209262435677535</v>
      </c>
      <c r="D81">
        <f>(Data!J74+Data!H74-Keys!AQ81)/Keys!AQ81</f>
        <v>4.0165093222346397E-2</v>
      </c>
      <c r="F81">
        <f>(Data!O74+Data!M74-Keys!AR81)/Keys!AR81</f>
        <v>-5.8479532163740952E-3</v>
      </c>
      <c r="AP81">
        <f>Data!E73/(1+Data!D74)</f>
        <v>46.64</v>
      </c>
      <c r="AQ81">
        <f>Data!J73/(1+Data!I74)</f>
        <v>295.52999999999997</v>
      </c>
      <c r="AR81">
        <f>Data!O73/(1+Data!N74)</f>
        <v>35.909999999999997</v>
      </c>
    </row>
    <row r="82" spans="1:44" x14ac:dyDescent="0.25">
      <c r="A82">
        <f>Data!A75</f>
        <v>20171229</v>
      </c>
      <c r="B82">
        <f>(Data!E75+Data!C75-Keys!AP82)/AP82</f>
        <v>-1.29520295202953E-2</v>
      </c>
      <c r="D82">
        <f>(Data!J75+Data!H75-Keys!AQ82)/Keys!AQ82</f>
        <v>1.6591087071929395E-3</v>
      </c>
      <c r="F82">
        <f>(Data!O75+Data!M75-Keys!AR82)/Keys!AR82</f>
        <v>-3.39174674957616E-3</v>
      </c>
      <c r="AP82">
        <f>Data!E74/(1+Data!D75)</f>
        <v>54.2</v>
      </c>
      <c r="AQ82">
        <f>Data!J74/(1+Data!I75)</f>
        <v>307.39999</v>
      </c>
      <c r="AR82">
        <f>Data!O74/(1+Data!N75)</f>
        <v>35.380000000000003</v>
      </c>
    </row>
    <row r="83" spans="1:44" x14ac:dyDescent="0.25">
      <c r="A83">
        <f>Data!A76</f>
        <v>20180131</v>
      </c>
      <c r="B83">
        <f>(Data!E76+Data!C76-Keys!AP83)/AP83</f>
        <v>4.9278620948098234E-2</v>
      </c>
      <c r="D83">
        <f>(Data!J76+Data!H76-Keys!AQ83)/Keys!AQ83</f>
        <v>0.1095435143853245</v>
      </c>
      <c r="F83">
        <f>(Data!O76+Data!M76-Keys!AR83)/Keys!AR83</f>
        <v>6.4662507090187213E-2</v>
      </c>
      <c r="AP83">
        <f>Data!E75/(1+Data!D76)</f>
        <v>53.37</v>
      </c>
      <c r="AQ83">
        <f>Data!J75/(1+Data!I76)</f>
        <v>306.91000000000003</v>
      </c>
      <c r="AR83">
        <f>Data!O75/(1+Data!N76)</f>
        <v>35.26</v>
      </c>
    </row>
    <row r="84" spans="1:44" x14ac:dyDescent="0.25">
      <c r="A84">
        <f>Data!A77</f>
        <v>20180228</v>
      </c>
      <c r="B84">
        <f>(Data!E77+Data!C77-Keys!AP84)/AP84</f>
        <v>-0.10392857142857144</v>
      </c>
      <c r="D84">
        <f>(Data!J77+Data!H77-Keys!AQ84)/Keys!AQ84</f>
        <v>2.7927084251020536E-2</v>
      </c>
      <c r="F84">
        <f>(Data!O77+Data!M77-Keys!AR84)/Keys!AR84</f>
        <v>-6.6862013851891264E-2</v>
      </c>
      <c r="AP84">
        <f>Data!E76/(1+Data!D77)</f>
        <v>56</v>
      </c>
      <c r="AQ84">
        <f>Data!J76/(1+Data!I77)</f>
        <v>340.53</v>
      </c>
      <c r="AR84">
        <f>Data!O76/(1+Data!N77)</f>
        <v>37.54</v>
      </c>
    </row>
    <row r="85" spans="1:44" x14ac:dyDescent="0.25">
      <c r="A85">
        <f>Data!A78</f>
        <v>20180329</v>
      </c>
      <c r="B85">
        <f>(Data!E78+Data!C78-Keys!AP85)/AP85</f>
        <v>-2.1243523316062225E-2</v>
      </c>
      <c r="D85">
        <f>(Data!J78+Data!H78-Keys!AQ85)/Keys!AQ85</f>
        <v>5.1419836263869403E-4</v>
      </c>
      <c r="F85">
        <f>(Data!O78+Data!M78-Keys!AR85)/Keys!AR85</f>
        <v>8.2786183271481347E-3</v>
      </c>
      <c r="AP85">
        <f>Data!E77/(1+Data!D78)</f>
        <v>50.18</v>
      </c>
      <c r="AQ85">
        <f>Data!J77/(1+Data!I78)</f>
        <v>350.04001</v>
      </c>
      <c r="AR85">
        <f>Data!O77/(1+Data!N78)</f>
        <v>35.03</v>
      </c>
    </row>
    <row r="86" spans="1:44" x14ac:dyDescent="0.25">
      <c r="A86">
        <f>Data!A79</f>
        <v>20180430</v>
      </c>
      <c r="B86">
        <f>(Data!E79+Data!C79-Keys!AP86)/AP86</f>
        <v>-1.8374846876275277E-3</v>
      </c>
      <c r="D86">
        <f>(Data!J79+Data!H79-Keys!AQ86)/Keys!AQ86</f>
        <v>-7.7566424152154007E-2</v>
      </c>
      <c r="F86">
        <f>(Data!O79+Data!M79-Keys!AR86)/Keys!AR86</f>
        <v>5.0857142857142892E-2</v>
      </c>
      <c r="AP86">
        <f>Data!E78/(1+Data!D79)</f>
        <v>48.98</v>
      </c>
      <c r="AQ86">
        <f>Data!J78/(1+Data!I79)</f>
        <v>349.12</v>
      </c>
      <c r="AR86">
        <f>Data!O78/(1+Data!N79)</f>
        <v>35</v>
      </c>
    </row>
    <row r="87" spans="1:44" x14ac:dyDescent="0.25">
      <c r="A87">
        <f>Data!A80</f>
        <v>20180531</v>
      </c>
      <c r="B87">
        <f>(Data!E80+Data!C80-Keys!AP87)/AP87</f>
        <v>5.5839640008181569E-2</v>
      </c>
      <c r="D87">
        <f>(Data!J80+Data!H80-Keys!AQ87)/Keys!AQ87</f>
        <v>1.617808296552967E-2</v>
      </c>
      <c r="F87">
        <f>(Data!O80+Data!M80-Keys!AR87)/Keys!AR87</f>
        <v>1.495377922784114E-2</v>
      </c>
      <c r="AP87">
        <f>Data!E79/(1+Data!D80)</f>
        <v>48.89</v>
      </c>
      <c r="AQ87">
        <f>Data!J79/(1+Data!I80)</f>
        <v>322.04001</v>
      </c>
      <c r="AR87">
        <f>Data!O79/(1+Data!N80)</f>
        <v>36.78</v>
      </c>
    </row>
    <row r="88" spans="1:44" x14ac:dyDescent="0.25">
      <c r="A88">
        <f>Data!A81</f>
        <v>20180629</v>
      </c>
      <c r="B88">
        <f>(Data!E81+Data!C81-Keys!AP88)/AP88</f>
        <v>1.5187911662146572E-2</v>
      </c>
      <c r="D88">
        <f>(Data!J81+Data!H81-Keys!AQ88)/Keys!AQ88</f>
        <v>-5.6073307868601957E-2</v>
      </c>
      <c r="F88">
        <f>(Data!O81+Data!M81-Keys!AR88)/Keys!AR88</f>
        <v>-1.4733458344494969E-2</v>
      </c>
      <c r="AP88">
        <f>Data!E80/(1+Data!D81)</f>
        <v>51.62</v>
      </c>
      <c r="AQ88">
        <f>Data!J80/(1+Data!I81)</f>
        <v>327.25</v>
      </c>
      <c r="AR88">
        <f>Data!O80/(1+Data!N81)</f>
        <v>37.33</v>
      </c>
    </row>
    <row r="89" spans="1:44" x14ac:dyDescent="0.25">
      <c r="AQ89">
        <f>Data!J81/(1+Data!I82)</f>
        <v>307.70001000000002</v>
      </c>
      <c r="AR89">
        <f>Data!O81/(1+Data!N82)</f>
        <v>36.46</v>
      </c>
    </row>
    <row r="92" spans="1:44" x14ac:dyDescent="0.25">
      <c r="A92" t="s">
        <v>2</v>
      </c>
    </row>
    <row r="93" spans="1:44" x14ac:dyDescent="0.25">
      <c r="A93" t="s">
        <v>3</v>
      </c>
    </row>
    <row r="94" spans="1:44" x14ac:dyDescent="0.25">
      <c r="B94">
        <f>SUM(B11:B88)/78</f>
        <v>1.6555627807729973E-2</v>
      </c>
      <c r="D94">
        <f>SUM(D11:D88)/78</f>
        <v>2.4269176420204E-2</v>
      </c>
      <c r="F94">
        <f>SUM(F11:F88)/78</f>
        <v>1.2938707741503221E-2</v>
      </c>
    </row>
    <row r="96" spans="1:44" x14ac:dyDescent="0.25">
      <c r="A96" t="s">
        <v>4</v>
      </c>
    </row>
    <row r="97" spans="2:6" x14ac:dyDescent="0.25">
      <c r="B97">
        <f>AVERAGE(B11:B88)</f>
        <v>1.6555627807729973E-2</v>
      </c>
      <c r="D97">
        <f>AVERAGE(D11:D88)</f>
        <v>2.4269176420204E-2</v>
      </c>
      <c r="F97">
        <f>AVERAGE(F11:F88)</f>
        <v>1.2938707741503221E-2</v>
      </c>
    </row>
  </sheetData>
  <phoneticPr fontId="22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P101"/>
  <sheetViews>
    <sheetView topLeftCell="A64" workbookViewId="0">
      <selection activeCell="C85" sqref="C85"/>
    </sheetView>
  </sheetViews>
  <sheetFormatPr defaultColWidth="8.85546875" defaultRowHeight="15" x14ac:dyDescent="0.25"/>
  <cols>
    <col min="3" max="3" width="13" customWidth="1"/>
    <col min="6" max="6" width="10.7109375" customWidth="1"/>
    <col min="7" max="7" width="11.42578125" customWidth="1"/>
    <col min="13" max="13" width="10.85546875" customWidth="1"/>
    <col min="14" max="14" width="12" bestFit="1" customWidth="1"/>
    <col min="15" max="15" width="10.140625" customWidth="1"/>
  </cols>
  <sheetData>
    <row r="1" spans="1:16" x14ac:dyDescent="0.25">
      <c r="A1" t="s">
        <v>7</v>
      </c>
    </row>
    <row r="2" spans="1:16" x14ac:dyDescent="0.25">
      <c r="A2" t="s">
        <v>8</v>
      </c>
      <c r="D2" t="s">
        <v>10</v>
      </c>
    </row>
    <row r="3" spans="1:16" x14ac:dyDescent="0.25">
      <c r="D3" t="s">
        <v>11</v>
      </c>
      <c r="J3" t="s">
        <v>12</v>
      </c>
    </row>
    <row r="4" spans="1:16" x14ac:dyDescent="0.25">
      <c r="B4" t="s">
        <v>83</v>
      </c>
      <c r="E4" t="s">
        <v>84</v>
      </c>
      <c r="H4" t="s">
        <v>85</v>
      </c>
      <c r="M4" t="s">
        <v>89</v>
      </c>
      <c r="N4" t="s">
        <v>16</v>
      </c>
      <c r="P4">
        <f>AVERAGE(Data!Q4:Q81)</f>
        <v>1.1068884615384618E-2</v>
      </c>
    </row>
    <row r="5" spans="1:16" x14ac:dyDescent="0.25">
      <c r="A5" t="s">
        <v>6</v>
      </c>
      <c r="B5" t="s">
        <v>5</v>
      </c>
      <c r="C5" t="s">
        <v>9</v>
      </c>
      <c r="E5" t="s">
        <v>5</v>
      </c>
      <c r="F5" t="s">
        <v>9</v>
      </c>
      <c r="H5" t="s">
        <v>5</v>
      </c>
      <c r="I5" t="s">
        <v>9</v>
      </c>
      <c r="M5" t="s">
        <v>5</v>
      </c>
      <c r="N5" t="s">
        <v>9</v>
      </c>
    </row>
    <row r="6" spans="1:16" x14ac:dyDescent="0.25">
      <c r="A6">
        <f>Data!A4</f>
        <v>20120131</v>
      </c>
      <c r="B6">
        <f>Keys!B11-Keys!$B$94</f>
        <v>0.10812104058337196</v>
      </c>
      <c r="C6">
        <f>B6^2</f>
        <v>1.1690159416831167E-2</v>
      </c>
      <c r="E6">
        <f>Keys!D11-Keys!$D$94</f>
        <v>-3.1622117596674583E-2</v>
      </c>
      <c r="F6">
        <f>E6^2</f>
        <v>9.9995832129791623E-4</v>
      </c>
      <c r="H6">
        <f>Keys!F11-Keys!$F$94</f>
        <v>5.936980859486516E-2</v>
      </c>
      <c r="I6">
        <f>H6^2</f>
        <v>3.5247741725909251E-3</v>
      </c>
      <c r="M6">
        <f>Data!Q4-$P$4</f>
        <v>4.2992115384615379E-2</v>
      </c>
      <c r="N6">
        <f>M6^2</f>
        <v>1.8483219852440823E-3</v>
      </c>
    </row>
    <row r="7" spans="1:16" x14ac:dyDescent="0.25">
      <c r="A7">
        <f>Data!A5</f>
        <v>20120229</v>
      </c>
      <c r="B7">
        <f>Keys!B12-Keys!$B$94</f>
        <v>0.13109846602851663</v>
      </c>
      <c r="C7">
        <f t="shared" ref="C7:C70" si="0">B7^2</f>
        <v>1.718680779503013E-2</v>
      </c>
      <c r="E7">
        <f>Keys!D12-Keys!$D$94</f>
        <v>1.466277879082107E-2</v>
      </c>
      <c r="F7">
        <f t="shared" ref="F7:F70" si="1">E7^2</f>
        <v>2.149970818685522E-4</v>
      </c>
      <c r="H7">
        <f>Keys!F12-Keys!$F$94</f>
        <v>3.801034320754771E-2</v>
      </c>
      <c r="I7">
        <f t="shared" ref="I7:I70" si="2">H7^2</f>
        <v>1.4447861907555684E-3</v>
      </c>
      <c r="M7">
        <f>Data!Q5-$P$4</f>
        <v>3.0143115384615379E-2</v>
      </c>
      <c r="N7">
        <f t="shared" ref="N7:N70" si="3">M7^2</f>
        <v>9.0860740509023639E-4</v>
      </c>
    </row>
    <row r="8" spans="1:16" x14ac:dyDescent="0.25">
      <c r="A8">
        <f>Data!A6</f>
        <v>20120330</v>
      </c>
      <c r="B8">
        <f>Keys!B13-Keys!$B$94</f>
        <v>-9.3469455463040474E-2</v>
      </c>
      <c r="C8">
        <f t="shared" si="0"/>
        <v>8.736539104557307E-3</v>
      </c>
      <c r="E8">
        <f>Keys!D13-Keys!$D$94</f>
        <v>-3.0352690468551276E-3</v>
      </c>
      <c r="F8">
        <f t="shared" si="1"/>
        <v>9.2128581867968345E-6</v>
      </c>
      <c r="H8">
        <f>Keys!F13-Keys!$F$94</f>
        <v>3.6367180243178497E-2</v>
      </c>
      <c r="I8">
        <f t="shared" si="2"/>
        <v>1.3225717988398324E-3</v>
      </c>
      <c r="M8">
        <f>Data!Q6-$P$4</f>
        <v>1.2916115384615382E-2</v>
      </c>
      <c r="N8">
        <f t="shared" si="3"/>
        <v>1.6682603662869814E-4</v>
      </c>
    </row>
    <row r="9" spans="1:16" x14ac:dyDescent="0.25">
      <c r="A9">
        <f>Data!A7</f>
        <v>20120430</v>
      </c>
      <c r="B9">
        <f>Keys!B14-Keys!$B$94</f>
        <v>-3.7479777764138009E-2</v>
      </c>
      <c r="C9">
        <f t="shared" si="0"/>
        <v>1.4047337412491738E-3</v>
      </c>
      <c r="E9">
        <f>Keys!D14-Keys!$D$94</f>
        <v>1.1749160187523616E-2</v>
      </c>
      <c r="F9">
        <f t="shared" si="1"/>
        <v>1.3804276511208998E-4</v>
      </c>
      <c r="H9">
        <f>Keys!F14-Keys!$F$94</f>
        <v>-8.4106590953182153E-2</v>
      </c>
      <c r="I9">
        <f t="shared" si="2"/>
        <v>7.0739186417659019E-3</v>
      </c>
      <c r="M9">
        <f>Data!Q7-$P$4</f>
        <v>-1.7863884615384618E-2</v>
      </c>
      <c r="N9">
        <f t="shared" si="3"/>
        <v>3.1911837355177525E-4</v>
      </c>
    </row>
    <row r="10" spans="1:16" x14ac:dyDescent="0.25">
      <c r="A10">
        <f>Data!A8</f>
        <v>20120531</v>
      </c>
      <c r="B10">
        <f>Keys!B15-Keys!$B$94</f>
        <v>-9.8434523622511746E-2</v>
      </c>
      <c r="C10">
        <f t="shared" si="0"/>
        <v>9.6893554407908224E-3</v>
      </c>
      <c r="E10">
        <f>Keys!D15-Keys!$D$94</f>
        <v>-8.7164245952441738E-2</v>
      </c>
      <c r="F10">
        <f t="shared" si="1"/>
        <v>7.5976057724577561E-3</v>
      </c>
      <c r="H10">
        <f>Keys!F15-Keys!$F$94</f>
        <v>-2.7673481808300898E-2</v>
      </c>
      <c r="I10">
        <f t="shared" si="2"/>
        <v>7.6582159539436074E-4</v>
      </c>
      <c r="M10">
        <f>Data!Q8-$P$4</f>
        <v>-7.6591884615384617E-2</v>
      </c>
      <c r="N10">
        <f t="shared" si="3"/>
        <v>5.8663167889363909E-3</v>
      </c>
    </row>
    <row r="11" spans="1:16" x14ac:dyDescent="0.25">
      <c r="A11">
        <f>Data!A9</f>
        <v>20120629</v>
      </c>
      <c r="B11">
        <f>Keys!B16-Keys!$B$94</f>
        <v>-0.15927360150475869</v>
      </c>
      <c r="C11">
        <f t="shared" si="0"/>
        <v>2.536808013629667E-2</v>
      </c>
      <c r="E11">
        <f>Keys!D16-Keys!$D$94</f>
        <v>6.1518057622349173E-2</v>
      </c>
      <c r="F11">
        <f t="shared" si="1"/>
        <v>3.784471413626673E-3</v>
      </c>
      <c r="H11">
        <f>Keys!F16-Keys!$F$94</f>
        <v>0.11011503409676895</v>
      </c>
      <c r="I11">
        <f t="shared" si="2"/>
        <v>1.212532073413259E-2</v>
      </c>
      <c r="M11">
        <f>Data!Q9-$P$4</f>
        <v>2.7090115384615379E-2</v>
      </c>
      <c r="N11">
        <f t="shared" si="3"/>
        <v>7.3387435155177481E-4</v>
      </c>
    </row>
    <row r="12" spans="1:16" x14ac:dyDescent="0.25">
      <c r="A12">
        <f>Data!A10</f>
        <v>20120731</v>
      </c>
      <c r="B12">
        <f>Keys!B17-Keys!$B$94</f>
        <v>4.8217099464997124E-2</v>
      </c>
      <c r="C12">
        <f t="shared" si="0"/>
        <v>2.3248886808174261E-3</v>
      </c>
      <c r="E12">
        <f>Keys!D17-Keys!$D$94</f>
        <v>1.3511039914644779E-2</v>
      </c>
      <c r="F12">
        <f t="shared" si="1"/>
        <v>1.825481995751244E-4</v>
      </c>
      <c r="H12">
        <f>Keys!F17-Keys!$F$94</f>
        <v>3.1336784208407423E-2</v>
      </c>
      <c r="I12">
        <f t="shared" si="2"/>
        <v>9.8199404452429281E-4</v>
      </c>
      <c r="M12">
        <f>Data!Q10-$P$4</f>
        <v>-7.8388461538461685E-4</v>
      </c>
      <c r="N12">
        <f t="shared" si="3"/>
        <v>6.144750902366887E-7</v>
      </c>
    </row>
    <row r="13" spans="1:16" x14ac:dyDescent="0.25">
      <c r="A13">
        <f>Data!A11</f>
        <v>20120831</v>
      </c>
      <c r="B13">
        <f>Keys!B18-Keys!$B$94</f>
        <v>5.0199975180530501E-2</v>
      </c>
      <c r="C13">
        <f t="shared" si="0"/>
        <v>2.5200375081258783E-3</v>
      </c>
      <c r="E13">
        <f>Keys!D18-Keys!$D$94</f>
        <v>-5.5380585954306651E-3</v>
      </c>
      <c r="F13">
        <f t="shared" si="1"/>
        <v>3.0670093006423468E-5</v>
      </c>
      <c r="H13">
        <f>Keys!F18-Keys!$F$94</f>
        <v>6.0294696969417437E-2</v>
      </c>
      <c r="I13">
        <f t="shared" si="2"/>
        <v>3.6354504826338761E-3</v>
      </c>
      <c r="M13">
        <f>Data!Q11-$P$4</f>
        <v>1.5190115384615384E-2</v>
      </c>
      <c r="N13">
        <f t="shared" si="3"/>
        <v>2.3073960539792896E-4</v>
      </c>
    </row>
    <row r="14" spans="1:16" x14ac:dyDescent="0.25">
      <c r="A14">
        <f>Data!A12</f>
        <v>20120928</v>
      </c>
      <c r="B14">
        <f>Keys!B19-Keys!$B$94</f>
        <v>-3.9928137373782136E-3</v>
      </c>
      <c r="C14">
        <f t="shared" si="0"/>
        <v>1.5942561541396177E-5</v>
      </c>
      <c r="E14">
        <f>Keys!D19-Keys!$D$94</f>
        <v>-3.1146138596911933E-2</v>
      </c>
      <c r="F14">
        <f t="shared" si="1"/>
        <v>9.7008194949804727E-4</v>
      </c>
      <c r="H14">
        <f>Keys!F19-Keys!$F$94</f>
        <v>3.6439052194265562E-2</v>
      </c>
      <c r="I14">
        <f t="shared" si="2"/>
        <v>1.3278045248164099E-3</v>
      </c>
      <c r="M14">
        <f>Data!Q12-$P$4</f>
        <v>1.5466115384615382E-2</v>
      </c>
      <c r="N14">
        <f t="shared" si="3"/>
        <v>2.3920072509023659E-4</v>
      </c>
    </row>
    <row r="15" spans="1:16" x14ac:dyDescent="0.25">
      <c r="A15">
        <f>Data!A13</f>
        <v>20121031</v>
      </c>
      <c r="B15">
        <f>Keys!B20-Keys!$B$94</f>
        <v>1.5702436708399169E-2</v>
      </c>
      <c r="C15">
        <f t="shared" si="0"/>
        <v>2.4656651858128174E-4</v>
      </c>
      <c r="E15">
        <f>Keys!D20-Keys!$D$94</f>
        <v>9.7515973265970002E-3</v>
      </c>
      <c r="F15">
        <f t="shared" si="1"/>
        <v>9.5093650420093766E-5</v>
      </c>
      <c r="H15">
        <f>Keys!F20-Keys!$F$94</f>
        <v>4.6357390192697266E-2</v>
      </c>
      <c r="I15">
        <f t="shared" si="2"/>
        <v>2.1490076254779846E-3</v>
      </c>
      <c r="M15">
        <f>Data!Q13-$P$4</f>
        <v>-2.5162884615384618E-2</v>
      </c>
      <c r="N15">
        <f t="shared" si="3"/>
        <v>6.3317076216715985E-4</v>
      </c>
    </row>
    <row r="16" spans="1:16" x14ac:dyDescent="0.25">
      <c r="A16">
        <f>Data!A14</f>
        <v>20121130</v>
      </c>
      <c r="B16">
        <f>Keys!B21-Keys!$B$94</f>
        <v>6.330014142303933E-2</v>
      </c>
      <c r="C16">
        <f t="shared" si="0"/>
        <v>4.00690790417678E-3</v>
      </c>
      <c r="E16">
        <f>Keys!D21-Keys!$D$94</f>
        <v>-4.5232926602180965E-2</v>
      </c>
      <c r="F16">
        <f t="shared" si="1"/>
        <v>2.0460176489982902E-3</v>
      </c>
      <c r="H16">
        <f>Keys!F21-Keys!$F$94</f>
        <v>-1.1494142916656737E-2</v>
      </c>
      <c r="I16">
        <f t="shared" si="2"/>
        <v>1.3211532138853024E-4</v>
      </c>
      <c r="M16">
        <f>Data!Q14-$P$4</f>
        <v>-4.8788846153846174E-3</v>
      </c>
      <c r="N16">
        <f t="shared" si="3"/>
        <v>2.3803515090236705E-5</v>
      </c>
    </row>
    <row r="17" spans="1:14" x14ac:dyDescent="0.25">
      <c r="A17">
        <f>Data!A15</f>
        <v>20121231</v>
      </c>
      <c r="B17">
        <f>Keys!B22-Keys!$B$94</f>
        <v>3.2170344476579363E-2</v>
      </c>
      <c r="C17">
        <f t="shared" si="0"/>
        <v>1.0349310637417803E-3</v>
      </c>
      <c r="E17">
        <f>Keys!D22-Keys!$D$94</f>
        <v>-1.1075773121853243E-2</v>
      </c>
      <c r="F17">
        <f t="shared" si="1"/>
        <v>1.2267275024676675E-4</v>
      </c>
      <c r="H17">
        <f>Keys!F22-Keys!$F$94</f>
        <v>-3.5047454773522203E-3</v>
      </c>
      <c r="I17">
        <f t="shared" si="2"/>
        <v>1.2283240861020843E-5</v>
      </c>
      <c r="M17">
        <f>Data!Q15-$P$4</f>
        <v>1.449115384615382E-3</v>
      </c>
      <c r="N17">
        <f t="shared" si="3"/>
        <v>2.0999353979289867E-6</v>
      </c>
    </row>
    <row r="18" spans="1:14" x14ac:dyDescent="0.25">
      <c r="A18">
        <f>Data!A16</f>
        <v>20130131</v>
      </c>
      <c r="B18">
        <f>Keys!B23-Keys!$B$94</f>
        <v>7.8073528202500159E-2</v>
      </c>
      <c r="C18">
        <f t="shared" si="0"/>
        <v>6.0954758059865877E-3</v>
      </c>
      <c r="E18">
        <f>Keys!D23-Keys!$D$94</f>
        <v>-6.1854260764684497E-2</v>
      </c>
      <c r="F18">
        <f t="shared" si="1"/>
        <v>3.8259495747455879E-3</v>
      </c>
      <c r="H18">
        <f>Keys!F23-Keys!$F$94</f>
        <v>6.9735627269280426E-2</v>
      </c>
      <c r="I18">
        <f t="shared" si="2"/>
        <v>4.8630577106400074E-3</v>
      </c>
      <c r="M18">
        <f>Data!Q16-$P$4</f>
        <v>4.3029115384615381E-2</v>
      </c>
      <c r="N18">
        <f t="shared" si="3"/>
        <v>1.851504770782544E-3</v>
      </c>
    </row>
    <row r="19" spans="1:14" x14ac:dyDescent="0.25">
      <c r="A19">
        <f>Data!A17</f>
        <v>20130228</v>
      </c>
      <c r="B19">
        <f>Keys!B24-Keys!$B$94</f>
        <v>8.7558986720207496E-3</v>
      </c>
      <c r="C19">
        <f t="shared" si="0"/>
        <v>7.6665761554694725E-5</v>
      </c>
      <c r="E19">
        <f>Keys!D24-Keys!$D$94</f>
        <v>-5.9727434558743929E-3</v>
      </c>
      <c r="F19">
        <f t="shared" si="1"/>
        <v>3.5673664389690388E-5</v>
      </c>
      <c r="H19">
        <f>Keys!F24-Keys!$F$94</f>
        <v>-3.0866994594092832E-2</v>
      </c>
      <c r="I19">
        <f t="shared" si="2"/>
        <v>9.5277135527175618E-4</v>
      </c>
      <c r="M19">
        <f>Data!Q17-$P$4</f>
        <v>-2.7308846153846177E-3</v>
      </c>
      <c r="N19">
        <f t="shared" si="3"/>
        <v>7.4577307825443913E-6</v>
      </c>
    </row>
    <row r="20" spans="1:14" x14ac:dyDescent="0.25">
      <c r="A20">
        <f>Data!A18</f>
        <v>20130328</v>
      </c>
      <c r="B20">
        <f>Keys!B25-Keys!$B$94</f>
        <v>6.6999252556873265E-2</v>
      </c>
      <c r="C20">
        <f t="shared" si="0"/>
        <v>4.4888998431796886E-3</v>
      </c>
      <c r="E20">
        <f>Keys!D25-Keys!$D$94</f>
        <v>4.3788070839235679E-2</v>
      </c>
      <c r="F20">
        <f t="shared" si="1"/>
        <v>1.9173951478219221E-3</v>
      </c>
      <c r="H20">
        <f>Keys!F25-Keys!$F$94</f>
        <v>5.4045311299639208E-2</v>
      </c>
      <c r="I20">
        <f t="shared" si="2"/>
        <v>2.9208956734749093E-3</v>
      </c>
      <c r="M20">
        <f>Data!Q18-$P$4</f>
        <v>2.4199115384615381E-2</v>
      </c>
      <c r="N20">
        <f t="shared" si="3"/>
        <v>5.8559718539792887E-4</v>
      </c>
    </row>
    <row r="21" spans="1:14" x14ac:dyDescent="0.25">
      <c r="A21">
        <f>Data!A19</f>
        <v>20130430</v>
      </c>
      <c r="B21">
        <f>Keys!B26-Keys!$B$94</f>
        <v>-4.5750140646280739E-2</v>
      </c>
      <c r="C21">
        <f t="shared" si="0"/>
        <v>2.0930753691544689E-3</v>
      </c>
      <c r="E21">
        <f>Keys!D26-Keys!$D$94</f>
        <v>5.5417209894835034E-2</v>
      </c>
      <c r="F21">
        <f t="shared" si="1"/>
        <v>3.0710671525282021E-3</v>
      </c>
      <c r="H21">
        <f>Keys!F26-Keys!$F$94</f>
        <v>-4.0663373133472548E-2</v>
      </c>
      <c r="I21">
        <f t="shared" si="2"/>
        <v>1.653509914592017E-3</v>
      </c>
      <c r="M21">
        <f>Data!Q19-$P$4</f>
        <v>3.8741153846153821E-3</v>
      </c>
      <c r="N21">
        <f t="shared" si="3"/>
        <v>1.500877001331359E-5</v>
      </c>
    </row>
    <row r="22" spans="1:14" x14ac:dyDescent="0.25">
      <c r="A22">
        <f>Data!A20</f>
        <v>20130531</v>
      </c>
      <c r="B22">
        <f>Keys!B27-Keys!$B$94</f>
        <v>7.945886494589316E-2</v>
      </c>
      <c r="C22">
        <f t="shared" si="0"/>
        <v>6.3137112184896886E-3</v>
      </c>
      <c r="E22">
        <f>Keys!D27-Keys!$D$94</f>
        <v>7.1585061763054583E-2</v>
      </c>
      <c r="F22">
        <f t="shared" si="1"/>
        <v>5.1244210676203395E-3</v>
      </c>
      <c r="H22">
        <f>Keys!F27-Keys!$F$94</f>
        <v>-2.899901583720961E-2</v>
      </c>
      <c r="I22">
        <f t="shared" si="2"/>
        <v>8.4094291952673374E-4</v>
      </c>
      <c r="M22">
        <f>Data!Q20-$P$4</f>
        <v>7.9781153846153838E-3</v>
      </c>
      <c r="N22">
        <f t="shared" si="3"/>
        <v>6.3650325090236674E-5</v>
      </c>
    </row>
    <row r="23" spans="1:14" x14ac:dyDescent="0.25">
      <c r="A23">
        <f>Data!A21</f>
        <v>20130628</v>
      </c>
      <c r="B23">
        <f>Keys!B28-Keys!$B$94</f>
        <v>-4.1099574739736557E-2</v>
      </c>
      <c r="C23">
        <f t="shared" si="0"/>
        <v>1.6891750437871913E-3</v>
      </c>
      <c r="E23">
        <f>Keys!D28-Keys!$D$94</f>
        <v>-1.9292844341068226E-2</v>
      </c>
      <c r="F23">
        <f t="shared" si="1"/>
        <v>3.7221384276868826E-4</v>
      </c>
      <c r="H23">
        <f>Keys!F28-Keys!$F$94</f>
        <v>-5.7539646708639432E-2</v>
      </c>
      <c r="I23">
        <f t="shared" si="2"/>
        <v>3.3108109433550408E-3</v>
      </c>
      <c r="M23">
        <f>Data!Q21-$P$4</f>
        <v>-2.610488461538462E-2</v>
      </c>
      <c r="N23">
        <f t="shared" si="3"/>
        <v>6.8146500078254462E-4</v>
      </c>
    </row>
    <row r="24" spans="1:14" x14ac:dyDescent="0.25">
      <c r="A24">
        <f>Data!A22</f>
        <v>20130731</v>
      </c>
      <c r="B24">
        <f>Keys!B29-Keys!$B$94</f>
        <v>4.5668105616275406E-2</v>
      </c>
      <c r="C24">
        <f t="shared" si="0"/>
        <v>2.0855758705792854E-3</v>
      </c>
      <c r="E24">
        <f>Keys!D29-Keys!$D$94</f>
        <v>8.7566572372066595E-2</v>
      </c>
      <c r="F24">
        <f t="shared" si="1"/>
        <v>7.6679045969923771E-3</v>
      </c>
      <c r="H24">
        <f>Keys!F29-Keys!$F$94</f>
        <v>-1.6097710900506376E-2</v>
      </c>
      <c r="I24">
        <f t="shared" si="2"/>
        <v>2.591362962362818E-4</v>
      </c>
      <c r="M24">
        <f>Data!Q22-$P$4</f>
        <v>4.1616115384615383E-2</v>
      </c>
      <c r="N24">
        <f t="shared" si="3"/>
        <v>1.7319010597056212E-3</v>
      </c>
    </row>
    <row r="25" spans="1:14" x14ac:dyDescent="0.25">
      <c r="A25">
        <f>Data!A23</f>
        <v>20130830</v>
      </c>
      <c r="B25">
        <f>Keys!B30-Keys!$B$94</f>
        <v>3.8181888197391808E-2</v>
      </c>
      <c r="C25">
        <f t="shared" si="0"/>
        <v>1.4578565863181279E-3</v>
      </c>
      <c r="E25">
        <f>Keys!D30-Keys!$D$94</f>
        <v>-1.5361942007864296E-2</v>
      </c>
      <c r="F25">
        <f t="shared" si="1"/>
        <v>2.3598926225298572E-4</v>
      </c>
      <c r="H25">
        <f>Keys!F30-Keys!$F$94</f>
        <v>-4.1107721826010288E-2</v>
      </c>
      <c r="I25">
        <f t="shared" si="2"/>
        <v>1.6898447937246427E-3</v>
      </c>
      <c r="M25">
        <f>Data!Q23-$P$4</f>
        <v>-3.6784884615384615E-2</v>
      </c>
      <c r="N25">
        <f t="shared" si="3"/>
        <v>1.3531277361671598E-3</v>
      </c>
    </row>
    <row r="26" spans="1:14" x14ac:dyDescent="0.25">
      <c r="A26">
        <f>Data!A24</f>
        <v>20130930</v>
      </c>
      <c r="B26">
        <f>Keys!B31-Keys!$B$94</f>
        <v>7.7812713135953476E-2</v>
      </c>
      <c r="C26">
        <f t="shared" si="0"/>
        <v>6.0548183255781868E-3</v>
      </c>
      <c r="E26">
        <f>Keys!D31-Keys!$D$94</f>
        <v>8.1357222467517767E-3</v>
      </c>
      <c r="F26">
        <f t="shared" si="1"/>
        <v>6.6189976476291779E-5</v>
      </c>
      <c r="H26">
        <f>Keys!F31-Keys!$F$94</f>
        <v>3.271505412847487E-2</v>
      </c>
      <c r="I26">
        <f t="shared" si="2"/>
        <v>1.0702747666290406E-3</v>
      </c>
      <c r="M26">
        <f>Data!Q24-$P$4</f>
        <v>2.6385115384615382E-2</v>
      </c>
      <c r="N26">
        <f t="shared" si="3"/>
        <v>6.9617431385946731E-4</v>
      </c>
    </row>
    <row r="27" spans="1:14" x14ac:dyDescent="0.25">
      <c r="A27">
        <f>Data!A25</f>
        <v>20131031</v>
      </c>
      <c r="B27">
        <f>Keys!B32-Keys!$B$94</f>
        <v>8.8590408353605044E-2</v>
      </c>
      <c r="C27">
        <f t="shared" si="0"/>
        <v>7.8482604522584938E-3</v>
      </c>
      <c r="E27">
        <f>Keys!D32-Keys!$D$94</f>
        <v>0.10432624663249386</v>
      </c>
      <c r="F27">
        <f t="shared" si="1"/>
        <v>1.0883965736423936E-2</v>
      </c>
      <c r="H27">
        <f>Keys!F32-Keys!$F$94</f>
        <v>5.709272781560467E-2</v>
      </c>
      <c r="I27">
        <f t="shared" si="2"/>
        <v>3.2595795694267192E-3</v>
      </c>
      <c r="M27">
        <f>Data!Q25-$P$4</f>
        <v>2.8807115384615382E-2</v>
      </c>
      <c r="N27">
        <f t="shared" si="3"/>
        <v>8.2984989678254429E-4</v>
      </c>
    </row>
    <row r="28" spans="1:14" x14ac:dyDescent="0.25">
      <c r="A28">
        <f>Data!A26</f>
        <v>20131129</v>
      </c>
      <c r="B28">
        <f>Keys!B33-Keys!$B$94</f>
        <v>1.3396549388343646E-2</v>
      </c>
      <c r="C28">
        <f t="shared" si="0"/>
        <v>1.7946753551433052E-4</v>
      </c>
      <c r="E28">
        <f>Keys!D33-Keys!$D$94</f>
        <v>2.949326428298641E-2</v>
      </c>
      <c r="F28">
        <f t="shared" si="1"/>
        <v>8.6985263806608191E-4</v>
      </c>
      <c r="H28">
        <f>Keys!F33-Keys!$F$94</f>
        <v>-2.2309084200487279E-2</v>
      </c>
      <c r="I28">
        <f t="shared" si="2"/>
        <v>4.9769523786443121E-4</v>
      </c>
      <c r="M28">
        <f>Data!Q26-$P$4</f>
        <v>1.3881115384615382E-2</v>
      </c>
      <c r="N28">
        <f t="shared" si="3"/>
        <v>1.9268536432100585E-4</v>
      </c>
    </row>
    <row r="29" spans="1:14" x14ac:dyDescent="0.25">
      <c r="A29">
        <f>Data!A27</f>
        <v>20131231</v>
      </c>
      <c r="B29">
        <f>Keys!B34-Keys!$B$94</f>
        <v>4.7138639708193625E-2</v>
      </c>
      <c r="C29">
        <f t="shared" si="0"/>
        <v>2.2220513535388888E-3</v>
      </c>
      <c r="E29">
        <f>Keys!D34-Keys!$D$94</f>
        <v>-7.1410259054720815E-3</v>
      </c>
      <c r="F29">
        <f t="shared" si="1"/>
        <v>5.0994250982623363E-5</v>
      </c>
      <c r="H29">
        <f>Keys!F34-Keys!$F$94</f>
        <v>3.4854189702904388E-2</v>
      </c>
      <c r="I29">
        <f t="shared" si="2"/>
        <v>1.2148145398460464E-3</v>
      </c>
      <c r="M29">
        <f>Data!Q27-$P$4</f>
        <v>1.5051115384615383E-2</v>
      </c>
      <c r="N29">
        <f t="shared" si="3"/>
        <v>2.2653607432100587E-4</v>
      </c>
    </row>
    <row r="30" spans="1:14" x14ac:dyDescent="0.25">
      <c r="A30">
        <f>Data!A28</f>
        <v>20140131</v>
      </c>
      <c r="B30">
        <f>Keys!B35-Keys!$B$94</f>
        <v>-7.3441855352640126E-2</v>
      </c>
      <c r="C30">
        <f t="shared" si="0"/>
        <v>5.3937061176381152E-3</v>
      </c>
      <c r="E30">
        <f>Keys!D35-Keys!$D$94</f>
        <v>-1.6067448822263179E-2</v>
      </c>
      <c r="F30">
        <f t="shared" si="1"/>
        <v>2.5816291165604643E-4</v>
      </c>
      <c r="H30">
        <f>Keys!F35-Keys!$F$94</f>
        <v>-6.6470541761142157E-2</v>
      </c>
      <c r="I30">
        <f t="shared" si="2"/>
        <v>4.4183329220197432E-3</v>
      </c>
      <c r="M30">
        <f>Data!Q28-$P$4</f>
        <v>-4.102888461538462E-2</v>
      </c>
      <c r="N30">
        <f t="shared" si="3"/>
        <v>1.6833693727825447E-3</v>
      </c>
    </row>
    <row r="31" spans="1:14" x14ac:dyDescent="0.25">
      <c r="A31">
        <f>Data!A29</f>
        <v>20140228</v>
      </c>
      <c r="B31">
        <f>Keys!B36-Keys!$B$94</f>
        <v>5.5483444231341966E-2</v>
      </c>
      <c r="C31">
        <f t="shared" si="0"/>
        <v>3.078412583772434E-3</v>
      </c>
      <c r="E31">
        <f>Keys!D36-Keys!$D$94</f>
        <v>2.8435280524841462E-2</v>
      </c>
      <c r="F31">
        <f t="shared" si="1"/>
        <v>8.0856517852642815E-4</v>
      </c>
      <c r="H31">
        <f>Keys!F36-Keys!$F$94</f>
        <v>-1.7958788062788313E-2</v>
      </c>
      <c r="I31">
        <f t="shared" si="2"/>
        <v>3.2251806868414799E-4</v>
      </c>
      <c r="M31">
        <f>Data!Q29-$P$4</f>
        <v>3.5090115384615379E-2</v>
      </c>
      <c r="N31">
        <f t="shared" si="3"/>
        <v>1.2313161977056208E-3</v>
      </c>
    </row>
    <row r="32" spans="1:14" x14ac:dyDescent="0.25">
      <c r="A32">
        <f>Data!A30</f>
        <v>20140331</v>
      </c>
      <c r="B32">
        <f>Keys!B37-Keys!$B$94</f>
        <v>-4.0018042386317704E-2</v>
      </c>
      <c r="C32">
        <f t="shared" si="0"/>
        <v>1.6014437164331204E-3</v>
      </c>
      <c r="E32">
        <f>Keys!D37-Keys!$D$94</f>
        <v>-4.8525028681921482E-3</v>
      </c>
      <c r="F32">
        <f t="shared" si="1"/>
        <v>2.3546784085813026E-5</v>
      </c>
      <c r="H32">
        <f>Keys!F37-Keys!$F$94</f>
        <v>-1.8360598625949177E-2</v>
      </c>
      <c r="I32">
        <f t="shared" si="2"/>
        <v>3.3711158190320679E-4</v>
      </c>
      <c r="M32">
        <f>Data!Q30-$P$4</f>
        <v>-6.5718846153846175E-3</v>
      </c>
      <c r="N32">
        <f t="shared" si="3"/>
        <v>4.3189667397929018E-5</v>
      </c>
    </row>
    <row r="33" spans="1:14" x14ac:dyDescent="0.25">
      <c r="A33">
        <f>Data!A31</f>
        <v>20140430</v>
      </c>
      <c r="B33">
        <f>Keys!B38-Keys!$B$94</f>
        <v>-7.6688177048300065E-3</v>
      </c>
      <c r="C33">
        <f t="shared" si="0"/>
        <v>5.8810764989914169E-5</v>
      </c>
      <c r="E33">
        <f>Keys!D38-Keys!$D$94</f>
        <v>-3.9425603717983142E-2</v>
      </c>
      <c r="F33">
        <f t="shared" si="1"/>
        <v>1.554378228527446E-3</v>
      </c>
      <c r="H33">
        <f>Keys!F38-Keys!$F$94</f>
        <v>4.0970673862650922E-3</v>
      </c>
      <c r="I33">
        <f t="shared" si="2"/>
        <v>1.6785961167597075E-5</v>
      </c>
      <c r="M33">
        <f>Data!Q31-$P$4</f>
        <v>-9.3948846153846174E-3</v>
      </c>
      <c r="N33">
        <f t="shared" si="3"/>
        <v>8.8263856936390573E-5</v>
      </c>
    </row>
    <row r="34" spans="1:14" x14ac:dyDescent="0.25">
      <c r="A34">
        <f>Data!A32</f>
        <v>20140530</v>
      </c>
      <c r="B34">
        <f>Keys!B39-Keys!$B$94</f>
        <v>-4.0382425504281848E-3</v>
      </c>
      <c r="C34">
        <f t="shared" si="0"/>
        <v>1.630740289608873E-5</v>
      </c>
      <c r="E34">
        <f>Keys!D39-Keys!$D$94</f>
        <v>-1.8179142678125201E-2</v>
      </c>
      <c r="F34">
        <f t="shared" si="1"/>
        <v>3.304812285116331E-4</v>
      </c>
      <c r="H34">
        <f>Keys!F39-Keys!$F$94</f>
        <v>4.7027791420975809E-2</v>
      </c>
      <c r="I34">
        <f t="shared" si="2"/>
        <v>2.2116131659348061E-3</v>
      </c>
      <c r="M34">
        <f>Data!Q32-$P$4</f>
        <v>9.1471153846153837E-3</v>
      </c>
      <c r="N34">
        <f t="shared" si="3"/>
        <v>8.3669719859467433E-5</v>
      </c>
    </row>
    <row r="35" spans="1:14" x14ac:dyDescent="0.25">
      <c r="A35">
        <f>Data!A33</f>
        <v>20140630</v>
      </c>
      <c r="B35">
        <f>Keys!B40-Keys!$B$94</f>
        <v>8.7153163401061259E-2</v>
      </c>
      <c r="C35">
        <f t="shared" si="0"/>
        <v>7.5956738908120837E-3</v>
      </c>
      <c r="E35">
        <f>Keys!D40-Keys!$D$94</f>
        <v>-4.0065145157349227E-2</v>
      </c>
      <c r="F35">
        <f t="shared" si="1"/>
        <v>1.6052158564794643E-3</v>
      </c>
      <c r="H35">
        <f>Keys!F40-Keys!$F$94</f>
        <v>4.0212151583767362E-2</v>
      </c>
      <c r="I35">
        <f t="shared" si="2"/>
        <v>1.6170171349958839E-3</v>
      </c>
      <c r="M35">
        <f>Data!Q33-$P$4</f>
        <v>1.6875115384615384E-2</v>
      </c>
      <c r="N35">
        <f t="shared" si="3"/>
        <v>2.8476951924408283E-4</v>
      </c>
    </row>
    <row r="36" spans="1:14" x14ac:dyDescent="0.25">
      <c r="A36">
        <f>Data!A34</f>
        <v>20140731</v>
      </c>
      <c r="B36">
        <f>Keys!B41-Keys!$B$94</f>
        <v>-6.083837209047431E-2</v>
      </c>
      <c r="C36">
        <f t="shared" si="0"/>
        <v>3.7013075186190037E-3</v>
      </c>
      <c r="E36">
        <f>Keys!D41-Keys!$D$94</f>
        <v>6.157973960135385E-3</v>
      </c>
      <c r="F36">
        <f t="shared" si="1"/>
        <v>3.7920643293705478E-5</v>
      </c>
      <c r="H36">
        <f>Keys!F41-Keys!$F$94</f>
        <v>-6.642918824920957E-2</v>
      </c>
      <c r="I36">
        <f t="shared" si="2"/>
        <v>4.4128370514489226E-3</v>
      </c>
      <c r="M36">
        <f>Data!Q34-$P$4</f>
        <v>-3.159288461538462E-2</v>
      </c>
      <c r="N36">
        <f t="shared" si="3"/>
        <v>9.981103583210063E-4</v>
      </c>
    </row>
    <row r="37" spans="1:14" x14ac:dyDescent="0.25">
      <c r="A37">
        <f>Data!A35</f>
        <v>20140829</v>
      </c>
      <c r="B37">
        <f>Keys!B42-Keys!$B$94</f>
        <v>2.4558142042172149E-2</v>
      </c>
      <c r="C37">
        <f t="shared" si="0"/>
        <v>6.0310234056350329E-4</v>
      </c>
      <c r="E37">
        <f>Keys!D42-Keys!$D$94</f>
        <v>1.345289707699731E-2</v>
      </c>
      <c r="F37">
        <f t="shared" si="1"/>
        <v>1.8098043976428276E-4</v>
      </c>
      <c r="H37">
        <f>Keys!F42-Keys!$F$94</f>
        <v>8.0292454455176271E-2</v>
      </c>
      <c r="I37">
        <f t="shared" si="2"/>
        <v>6.4468782424365557E-3</v>
      </c>
      <c r="M37">
        <f>Data!Q35-$P$4</f>
        <v>2.911711538461538E-2</v>
      </c>
      <c r="N37">
        <f t="shared" si="3"/>
        <v>8.4780640832100569E-4</v>
      </c>
    </row>
    <row r="38" spans="1:14" x14ac:dyDescent="0.25">
      <c r="A38">
        <f>Data!A36</f>
        <v>20140930</v>
      </c>
      <c r="B38">
        <f>Keys!B43-Keys!$B$94</f>
        <v>-7.5268540469660652E-2</v>
      </c>
      <c r="C38">
        <f t="shared" si="0"/>
        <v>5.6653531844329435E-3</v>
      </c>
      <c r="E38">
        <f>Keys!D43-Keys!$D$94</f>
        <v>1.1416957835416096E-2</v>
      </c>
      <c r="F38">
        <f t="shared" si="1"/>
        <v>1.3034692621566898E-4</v>
      </c>
      <c r="H38">
        <f>Keys!F43-Keys!$F$94</f>
        <v>-7.449982703458137E-2</v>
      </c>
      <c r="I38">
        <f t="shared" si="2"/>
        <v>5.5502242281825409E-3</v>
      </c>
      <c r="M38">
        <f>Data!Q36-$P$4</f>
        <v>-3.6187884615384615E-2</v>
      </c>
      <c r="N38">
        <f t="shared" si="3"/>
        <v>1.3095629929363905E-3</v>
      </c>
    </row>
    <row r="39" spans="1:14" x14ac:dyDescent="0.25">
      <c r="A39">
        <f>Data!A37</f>
        <v>20141031</v>
      </c>
      <c r="B39">
        <f>Keys!B44-Keys!$B$94</f>
        <v>-1.3885400838437482E-2</v>
      </c>
      <c r="C39">
        <f t="shared" si="0"/>
        <v>1.9280435644408031E-4</v>
      </c>
      <c r="E39">
        <f>Keys!D44-Keys!$D$94</f>
        <v>2.2786230915513191E-2</v>
      </c>
      <c r="F39">
        <f t="shared" si="1"/>
        <v>5.1921231933508909E-4</v>
      </c>
      <c r="H39">
        <f>Keys!F44-Keys!$F$94</f>
        <v>5.8938253965966934E-2</v>
      </c>
      <c r="I39">
        <f t="shared" si="2"/>
        <v>3.473717780556817E-3</v>
      </c>
      <c r="M39">
        <f>Data!Q37-$P$4</f>
        <v>1.0119115384615381E-2</v>
      </c>
      <c r="N39">
        <f t="shared" si="3"/>
        <v>1.0239649616715969E-4</v>
      </c>
    </row>
    <row r="40" spans="1:14" x14ac:dyDescent="0.25">
      <c r="A40">
        <f>Data!A38</f>
        <v>20141128</v>
      </c>
      <c r="B40">
        <f>Keys!B45-Keys!$B$94</f>
        <v>-9.7780661096678115E-2</v>
      </c>
      <c r="C40">
        <f t="shared" si="0"/>
        <v>9.5610576845034205E-3</v>
      </c>
      <c r="E40">
        <f>Keys!D45-Keys!$D$94</f>
        <v>2.3325902801606992E-3</v>
      </c>
      <c r="F40">
        <f t="shared" si="1"/>
        <v>5.4409774151001693E-6</v>
      </c>
      <c r="H40">
        <f>Keys!F45-Keys!$F$94</f>
        <v>2.9884682689684104E-2</v>
      </c>
      <c r="I40">
        <f t="shared" si="2"/>
        <v>8.9309425946310474E-4</v>
      </c>
      <c r="M40">
        <f>Data!Q38-$P$4</f>
        <v>1.0080115384615384E-2</v>
      </c>
      <c r="N40">
        <f t="shared" si="3"/>
        <v>1.0160872616715974E-4</v>
      </c>
    </row>
    <row r="41" spans="1:14" x14ac:dyDescent="0.25">
      <c r="A41">
        <f>Data!A39</f>
        <v>20141231</v>
      </c>
      <c r="B41">
        <f>Keys!B46-Keys!$B$94</f>
        <v>-3.6603936986473892E-2</v>
      </c>
      <c r="C41">
        <f t="shared" si="0"/>
        <v>1.3398482029097513E-3</v>
      </c>
      <c r="E41">
        <f>Keys!D46-Keys!$D$94</f>
        <v>2.156925725881622E-2</v>
      </c>
      <c r="F41">
        <f t="shared" si="1"/>
        <v>4.6523285869699621E-4</v>
      </c>
      <c r="H41">
        <f>Keys!F46-Keys!$F$94</f>
        <v>3.4872339180832511E-3</v>
      </c>
      <c r="I41">
        <f t="shared" si="2"/>
        <v>1.2160800399430262E-5</v>
      </c>
      <c r="M41">
        <f>Data!Q39-$P$4</f>
        <v>-1.4688884615384618E-2</v>
      </c>
      <c r="N41">
        <f t="shared" si="3"/>
        <v>2.1576333124408289E-4</v>
      </c>
    </row>
    <row r="42" spans="1:14" x14ac:dyDescent="0.25">
      <c r="A42">
        <f>Data!A40</f>
        <v>20150130</v>
      </c>
      <c r="B42">
        <f>Keys!B47-Keys!$B$94</f>
        <v>-0.13148395207861477</v>
      </c>
      <c r="C42">
        <f t="shared" si="0"/>
        <v>1.7288029654211466E-2</v>
      </c>
      <c r="E42">
        <f>Keys!D47-Keys!$D$94</f>
        <v>4.0592754511338189E-2</v>
      </c>
      <c r="F42">
        <f t="shared" si="1"/>
        <v>1.6477717188177669E-3</v>
      </c>
      <c r="H42">
        <f>Keys!F47-Keys!$F$94</f>
        <v>-1.4053224319937302E-2</v>
      </c>
      <c r="I42">
        <f t="shared" si="2"/>
        <v>1.9749311378647723E-4</v>
      </c>
      <c r="M42">
        <f>Data!Q40-$P$4</f>
        <v>-3.8226884615384621E-2</v>
      </c>
      <c r="N42">
        <f t="shared" si="3"/>
        <v>1.4612947073979294E-3</v>
      </c>
    </row>
    <row r="43" spans="1:14" x14ac:dyDescent="0.25">
      <c r="A43">
        <f>Data!A41</f>
        <v>20150227</v>
      </c>
      <c r="B43">
        <f>Keys!B48-Keys!$B$94</f>
        <v>0.13033071678875138</v>
      </c>
      <c r="C43">
        <f t="shared" si="0"/>
        <v>1.6986095738669722E-2</v>
      </c>
      <c r="E43">
        <f>Keys!D48-Keys!$D$94</f>
        <v>3.6004859897094579E-2</v>
      </c>
      <c r="F43">
        <f t="shared" si="1"/>
        <v>1.2963499362094095E-3</v>
      </c>
      <c r="H43">
        <f>Keys!F48-Keys!$F$94</f>
        <v>-2.5491008996733427E-2</v>
      </c>
      <c r="I43">
        <f t="shared" si="2"/>
        <v>6.4979153967154458E-4</v>
      </c>
      <c r="M43">
        <f>Data!Q41-$P$4</f>
        <v>4.488811538461538E-2</v>
      </c>
      <c r="N43">
        <f t="shared" si="3"/>
        <v>2.0149429027825441E-3</v>
      </c>
    </row>
    <row r="44" spans="1:14" x14ac:dyDescent="0.25">
      <c r="A44">
        <f>Data!A42</f>
        <v>20150331</v>
      </c>
      <c r="B44">
        <f>Keys!B49-Keys!$B$94</f>
        <v>-4.1919640469040079E-2</v>
      </c>
      <c r="C44">
        <f t="shared" si="0"/>
        <v>1.7572562570535826E-3</v>
      </c>
      <c r="E44">
        <f>Keys!D49-Keys!$D$94</f>
        <v>-5.2933709118017487E-2</v>
      </c>
      <c r="F44">
        <f t="shared" si="1"/>
        <v>2.8019775609908876E-3</v>
      </c>
      <c r="H44">
        <f>Keys!F49-Keys!$F$94</f>
        <v>-6.8763259151357989E-2</v>
      </c>
      <c r="I44">
        <f t="shared" si="2"/>
        <v>4.7283858091168186E-3</v>
      </c>
      <c r="M44">
        <f>Data!Q42-$P$4</f>
        <v>-2.1509884615384618E-2</v>
      </c>
      <c r="N44">
        <f t="shared" si="3"/>
        <v>4.6267513616715986E-4</v>
      </c>
    </row>
    <row r="45" spans="1:14" x14ac:dyDescent="0.25">
      <c r="A45">
        <f>Data!A43</f>
        <v>20150430</v>
      </c>
      <c r="B45">
        <f>Keys!B50-Keys!$B$94</f>
        <v>-2.307028578818595E-2</v>
      </c>
      <c r="C45">
        <f t="shared" si="0"/>
        <v>5.3223808634857465E-4</v>
      </c>
      <c r="E45">
        <f>Keys!D50-Keys!$D$94</f>
        <v>-6.7261345717410326E-2</v>
      </c>
      <c r="F45">
        <f t="shared" si="1"/>
        <v>4.524088627716992E-3</v>
      </c>
      <c r="H45">
        <f>Keys!F50-Keys!$F$94</f>
        <v>-6.2410804272423195E-2</v>
      </c>
      <c r="I45">
        <f t="shared" si="2"/>
        <v>3.8951084899307175E-3</v>
      </c>
      <c r="M45">
        <f>Data!Q43-$P$4</f>
        <v>-2.3638846153846184E-3</v>
      </c>
      <c r="N45">
        <f t="shared" si="3"/>
        <v>5.5879504748520849E-6</v>
      </c>
    </row>
    <row r="46" spans="1:14" x14ac:dyDescent="0.25">
      <c r="A46">
        <f>Data!A44</f>
        <v>20150529</v>
      </c>
      <c r="B46">
        <f>Keys!B51-Keys!$B$94</f>
        <v>5.9863035496179273E-2</v>
      </c>
      <c r="C46">
        <f t="shared" si="0"/>
        <v>3.5835830188168196E-3</v>
      </c>
      <c r="E46">
        <f>Keys!D51-Keys!$D$94</f>
        <v>1.4292238703232624E-2</v>
      </c>
      <c r="F46">
        <f t="shared" si="1"/>
        <v>2.0426808715018054E-4</v>
      </c>
      <c r="H46">
        <f>Keys!F51-Keys!$F$94</f>
        <v>2.0384046939550433E-2</v>
      </c>
      <c r="I46">
        <f t="shared" si="2"/>
        <v>4.1550936963379541E-4</v>
      </c>
      <c r="M46">
        <f>Data!Q44-$P$4</f>
        <v>-7.3788461538461768E-4</v>
      </c>
      <c r="N46">
        <f t="shared" si="3"/>
        <v>5.4447370562130518E-7</v>
      </c>
    </row>
    <row r="47" spans="1:14" x14ac:dyDescent="0.25">
      <c r="A47">
        <f>Data!A45</f>
        <v>20150630</v>
      </c>
      <c r="B47">
        <f>Keys!B52-Keys!$B$94</f>
        <v>-3.3465187320382228E-2</v>
      </c>
      <c r="C47">
        <f t="shared" si="0"/>
        <v>1.1199187623882713E-3</v>
      </c>
      <c r="E47">
        <f>Keys!D52-Keys!$D$94</f>
        <v>-2.7724321755996571E-2</v>
      </c>
      <c r="F47">
        <f t="shared" si="1"/>
        <v>7.6863801683002477E-4</v>
      </c>
      <c r="H47">
        <f>Keys!F52-Keys!$F$94</f>
        <v>-3.6587356390151968E-2</v>
      </c>
      <c r="I47">
        <f t="shared" si="2"/>
        <v>1.3386346476199941E-3</v>
      </c>
      <c r="M47">
        <f>Data!Q45-$P$4</f>
        <v>-3.0323884615384621E-2</v>
      </c>
      <c r="N47">
        <f t="shared" si="3"/>
        <v>9.1953797816716012E-4</v>
      </c>
    </row>
    <row r="48" spans="1:14" x14ac:dyDescent="0.25">
      <c r="A48">
        <f>Data!A46</f>
        <v>20150731</v>
      </c>
      <c r="B48">
        <f>Keys!B53-Keys!$B$94</f>
        <v>-0.10833383048459429</v>
      </c>
      <c r="C48">
        <f t="shared" si="0"/>
        <v>1.173621882746481E-2</v>
      </c>
      <c r="E48">
        <f>Keys!D53-Keys!$D$94</f>
        <v>6.6381961447790655E-2</v>
      </c>
      <c r="F48">
        <f t="shared" si="1"/>
        <v>4.4065648056559647E-3</v>
      </c>
      <c r="H48">
        <f>Keys!F53-Keys!$F$94</f>
        <v>-3.8652993455788889E-2</v>
      </c>
      <c r="I48">
        <f t="shared" si="2"/>
        <v>1.4940539030932588E-3</v>
      </c>
      <c r="M48">
        <f>Data!Q46-$P$4</f>
        <v>1.0421153846153827E-3</v>
      </c>
      <c r="N48">
        <f t="shared" si="3"/>
        <v>1.0860044748520669E-6</v>
      </c>
    </row>
    <row r="49" spans="1:14" x14ac:dyDescent="0.25">
      <c r="A49">
        <f>Data!A47</f>
        <v>20150831</v>
      </c>
      <c r="B49">
        <f>Keys!B54-Keys!$B$94</f>
        <v>-3.2081943597203746E-2</v>
      </c>
      <c r="C49">
        <f t="shared" si="0"/>
        <v>1.0292511049741625E-3</v>
      </c>
      <c r="E49">
        <f>Keys!D54-Keys!$D$94</f>
        <v>-7.3225771354403835E-2</v>
      </c>
      <c r="F49">
        <f t="shared" si="1"/>
        <v>5.3620135904474293E-3</v>
      </c>
      <c r="H49">
        <f>Keys!F54-Keys!$F$94</f>
        <v>-0.10254444250852832</v>
      </c>
      <c r="I49">
        <f t="shared" si="2"/>
        <v>1.0515362689384869E-2</v>
      </c>
      <c r="M49">
        <f>Data!Q47-$P$4</f>
        <v>-7.1066884615384615E-2</v>
      </c>
      <c r="N49">
        <f t="shared" si="3"/>
        <v>5.0505020889363905E-3</v>
      </c>
    </row>
    <row r="50" spans="1:14" x14ac:dyDescent="0.25">
      <c r="A50">
        <f>Data!A48</f>
        <v>20150930</v>
      </c>
      <c r="B50">
        <f>Keys!B55-Keys!$B$94</f>
        <v>-0.11978203785851851</v>
      </c>
      <c r="C50">
        <f t="shared" si="0"/>
        <v>1.4347736593539563E-2</v>
      </c>
      <c r="E50">
        <f>Keys!D55-Keys!$D$94</f>
        <v>-1.0772230866090646E-2</v>
      </c>
      <c r="F50">
        <f t="shared" si="1"/>
        <v>1.1604095783235603E-4</v>
      </c>
      <c r="H50">
        <f>Keys!F55-Keys!$F$94</f>
        <v>-2.3318092136635743E-2</v>
      </c>
      <c r="I50">
        <f t="shared" si="2"/>
        <v>5.437334208926337E-4</v>
      </c>
      <c r="M50">
        <f>Data!Q48-$P$4</f>
        <v>-4.4800884615384617E-2</v>
      </c>
      <c r="N50">
        <f t="shared" si="3"/>
        <v>2.007119262321006E-3</v>
      </c>
    </row>
    <row r="51" spans="1:14" x14ac:dyDescent="0.25">
      <c r="A51">
        <f>Data!A49</f>
        <v>20151030</v>
      </c>
      <c r="B51">
        <f>Keys!B56-Keys!$B$94</f>
        <v>0.16741086935051108</v>
      </c>
      <c r="C51">
        <f t="shared" si="0"/>
        <v>2.8026399176693893E-2</v>
      </c>
      <c r="E51">
        <f>Keys!D56-Keys!$D$94</f>
        <v>0.10709569251622271</v>
      </c>
      <c r="F51">
        <f t="shared" si="1"/>
        <v>1.1469487355529322E-2</v>
      </c>
      <c r="H51">
        <f>Keys!F56-Keys!$F$94</f>
        <v>7.1187115228503989E-2</v>
      </c>
      <c r="I51">
        <f t="shared" si="2"/>
        <v>5.0676053745563046E-3</v>
      </c>
      <c r="M51">
        <f>Data!Q49-$P$4</f>
        <v>6.2884115384615386E-2</v>
      </c>
      <c r="N51">
        <f t="shared" si="3"/>
        <v>3.9544119677056211E-3</v>
      </c>
    </row>
    <row r="52" spans="1:14" x14ac:dyDescent="0.25">
      <c r="A52">
        <f>Data!A50</f>
        <v>20151130</v>
      </c>
      <c r="B52">
        <f>Keys!B57-Keys!$B$94</f>
        <v>-1.3271140693025513E-2</v>
      </c>
      <c r="C52">
        <f t="shared" si="0"/>
        <v>1.7612317529407768E-4</v>
      </c>
      <c r="E52">
        <f>Keys!D57-Keys!$D$94</f>
        <v>-2.7411653117940218E-2</v>
      </c>
      <c r="F52">
        <f t="shared" si="1"/>
        <v>7.5139872665828163E-4</v>
      </c>
      <c r="H52">
        <f>Keys!F57-Keys!$F$94</f>
        <v>8.3890477393171292E-2</v>
      </c>
      <c r="I52">
        <f t="shared" si="2"/>
        <v>7.0376121972541839E-3</v>
      </c>
      <c r="M52">
        <f>Data!Q50-$P$4</f>
        <v>-8.6258846153846186E-3</v>
      </c>
      <c r="N52">
        <f t="shared" si="3"/>
        <v>7.4405885397929049E-5</v>
      </c>
    </row>
    <row r="53" spans="1:14" x14ac:dyDescent="0.25">
      <c r="A53">
        <f>Data!A51</f>
        <v>20151231</v>
      </c>
      <c r="B53">
        <f>Keys!B58-Keys!$B$94</f>
        <v>-9.8945454047971795E-2</v>
      </c>
      <c r="C53">
        <f t="shared" si="0"/>
        <v>9.7902028767592984E-3</v>
      </c>
      <c r="E53">
        <f>Keys!D58-Keys!$D$94</f>
        <v>-1.1122578437804405E-2</v>
      </c>
      <c r="F53">
        <f t="shared" si="1"/>
        <v>1.2371175110511147E-4</v>
      </c>
      <c r="H53">
        <f>Keys!F58-Keys!$F$94</f>
        <v>-8.101455480398384E-2</v>
      </c>
      <c r="I53">
        <f t="shared" si="2"/>
        <v>6.5633580900877012E-3</v>
      </c>
      <c r="M53">
        <f>Data!Q51-$P$4</f>
        <v>-3.3337884615384616E-2</v>
      </c>
      <c r="N53">
        <f t="shared" si="3"/>
        <v>1.1114145506286983E-3</v>
      </c>
    </row>
    <row r="54" spans="1:14" x14ac:dyDescent="0.25">
      <c r="A54">
        <f>Data!A52</f>
        <v>20160129</v>
      </c>
      <c r="B54">
        <f>Keys!B59-Keys!$B$94</f>
        <v>-0.12310849124385324</v>
      </c>
      <c r="C54">
        <f t="shared" si="0"/>
        <v>1.5155700616337892E-2</v>
      </c>
      <c r="E54">
        <f>Keys!D59-Keys!$D$94</f>
        <v>-4.4130412583542805E-2</v>
      </c>
      <c r="F54">
        <f t="shared" si="1"/>
        <v>1.9474933147937132E-3</v>
      </c>
      <c r="H54">
        <f>Keys!F59-Keys!$F$94</f>
        <v>-0.15870255030321104</v>
      </c>
      <c r="I54">
        <f t="shared" si="2"/>
        <v>2.5186499472743231E-2</v>
      </c>
      <c r="M54">
        <f>Data!Q52-$P$4</f>
        <v>-6.8099884615384618E-2</v>
      </c>
      <c r="N54">
        <f t="shared" si="3"/>
        <v>4.6375942846286983E-3</v>
      </c>
    </row>
    <row r="55" spans="1:14" x14ac:dyDescent="0.25">
      <c r="A55">
        <f>Data!A53</f>
        <v>20160229</v>
      </c>
      <c r="B55">
        <f>Keys!B60-Keys!$B$94</f>
        <v>7.0039133363302225E-2</v>
      </c>
      <c r="C55">
        <f t="shared" si="0"/>
        <v>4.905480202282435E-3</v>
      </c>
      <c r="E55">
        <f>Keys!D60-Keys!$D$94</f>
        <v>1.8743900419739848E-2</v>
      </c>
      <c r="F55">
        <f t="shared" si="1"/>
        <v>3.5133380294512364E-4</v>
      </c>
      <c r="H55">
        <f>Keys!F60-Keys!$F$94</f>
        <v>1.508773711054413E-3</v>
      </c>
      <c r="I55">
        <f t="shared" si="2"/>
        <v>2.2763981111689051E-6</v>
      </c>
      <c r="M55">
        <f>Data!Q53-$P$4</f>
        <v>-1.0376884615384618E-2</v>
      </c>
      <c r="N55">
        <f t="shared" si="3"/>
        <v>1.0767973432100596E-4</v>
      </c>
    </row>
    <row r="56" spans="1:14" x14ac:dyDescent="0.25">
      <c r="A56">
        <f>Data!A54</f>
        <v>20160331</v>
      </c>
      <c r="B56">
        <f>Keys!B61-Keys!$B$94</f>
        <v>3.3189125453756269E-2</v>
      </c>
      <c r="C56">
        <f t="shared" si="0"/>
        <v>1.1015180483851723E-3</v>
      </c>
      <c r="E56">
        <f>Keys!D61-Keys!$D$94</f>
        <v>5.2802461164727435E-3</v>
      </c>
      <c r="F56">
        <f t="shared" si="1"/>
        <v>2.7880999050525488E-5</v>
      </c>
      <c r="H56">
        <f>Keys!F61-Keys!$F$94</f>
        <v>0.19144928302062145</v>
      </c>
      <c r="I56">
        <f t="shared" si="2"/>
        <v>3.6652827969110013E-2</v>
      </c>
      <c r="M56">
        <f>Data!Q54-$P$4</f>
        <v>5.9386115384615384E-2</v>
      </c>
      <c r="N56">
        <f t="shared" si="3"/>
        <v>3.5267107004748519E-3</v>
      </c>
    </row>
    <row r="57" spans="1:14" x14ac:dyDescent="0.25">
      <c r="A57">
        <f>Data!A55</f>
        <v>20160429</v>
      </c>
      <c r="B57">
        <f>Keys!B62-Keys!$B$94</f>
        <v>2.3563645708127894E-2</v>
      </c>
      <c r="C57">
        <f t="shared" si="0"/>
        <v>5.5524539905817409E-4</v>
      </c>
      <c r="E57">
        <f>Keys!D62-Keys!$D$94</f>
        <v>1.7974383066585185E-2</v>
      </c>
      <c r="F57">
        <f t="shared" si="1"/>
        <v>3.2307844662434425E-4</v>
      </c>
      <c r="H57">
        <f>Keys!F62-Keys!$F$94</f>
        <v>2.3859226409561889E-2</v>
      </c>
      <c r="I57">
        <f t="shared" si="2"/>
        <v>5.6926268486273549E-4</v>
      </c>
      <c r="M57">
        <f>Data!Q55-$P$4</f>
        <v>7.3711538461538294E-4</v>
      </c>
      <c r="N57">
        <f t="shared" si="3"/>
        <v>5.4333909023668396E-7</v>
      </c>
    </row>
    <row r="58" spans="1:14" x14ac:dyDescent="0.25">
      <c r="A58">
        <f>Data!A56</f>
        <v>20160531</v>
      </c>
      <c r="B58">
        <f>Keys!B63-Keys!$B$94</f>
        <v>-9.1093026817372913E-2</v>
      </c>
      <c r="C58">
        <f t="shared" si="0"/>
        <v>8.2979395347506212E-3</v>
      </c>
      <c r="E58">
        <f>Keys!D63-Keys!$D$94</f>
        <v>6.8081546705228077E-3</v>
      </c>
      <c r="F58">
        <f t="shared" si="1"/>
        <v>4.6350970017761517E-5</v>
      </c>
      <c r="H58">
        <f>Keys!F63-Keys!$F$94</f>
        <v>-3.224132293452929E-2</v>
      </c>
      <c r="I58">
        <f t="shared" si="2"/>
        <v>1.0395029045686044E-3</v>
      </c>
      <c r="M58">
        <f>Data!Q56-$P$4</f>
        <v>3.2321153846153819E-3</v>
      </c>
      <c r="N58">
        <f t="shared" si="3"/>
        <v>1.0446569859467438E-5</v>
      </c>
    </row>
    <row r="59" spans="1:14" x14ac:dyDescent="0.25">
      <c r="A59">
        <f>Data!A57</f>
        <v>20160630</v>
      </c>
      <c r="B59">
        <f>Keys!B64-Keys!$B$94</f>
        <v>-0.11247227100682879</v>
      </c>
      <c r="C59">
        <f t="shared" si="0"/>
        <v>1.2650011745433539E-2</v>
      </c>
      <c r="E59">
        <f>Keys!D64-Keys!$D$94</f>
        <v>2.5150111678728715E-2</v>
      </c>
      <c r="F59">
        <f t="shared" si="1"/>
        <v>6.3252811745252648E-4</v>
      </c>
      <c r="H59">
        <f>Keys!F64-Keys!$F$94</f>
        <v>-5.8018072820868356E-2</v>
      </c>
      <c r="I59">
        <f t="shared" si="2"/>
        <v>3.3660967738475835E-3</v>
      </c>
      <c r="M59">
        <f>Data!Q57-$P$4</f>
        <v>-7.940884615384617E-3</v>
      </c>
      <c r="N59">
        <f t="shared" si="3"/>
        <v>6.3057648474852093E-5</v>
      </c>
    </row>
    <row r="60" spans="1:14" x14ac:dyDescent="0.25">
      <c r="A60">
        <f>Data!A58</f>
        <v>20160729</v>
      </c>
      <c r="B60">
        <f>Keys!B65-Keys!$B$94</f>
        <v>-2.499840454318962E-2</v>
      </c>
      <c r="C60">
        <f t="shared" si="0"/>
        <v>6.2492022970496344E-4</v>
      </c>
      <c r="E60">
        <f>Keys!D65-Keys!$D$94</f>
        <v>-4.9687567638487272E-2</v>
      </c>
      <c r="F60">
        <f t="shared" si="1"/>
        <v>2.4688543778292474E-3</v>
      </c>
      <c r="H60">
        <f>Keys!F65-Keys!$F$94</f>
        <v>8.615433894979671E-2</v>
      </c>
      <c r="I60">
        <f t="shared" si="2"/>
        <v>7.4225701198764584E-3</v>
      </c>
      <c r="M60">
        <f>Data!Q58-$P$4</f>
        <v>2.7672115384615378E-2</v>
      </c>
      <c r="N60">
        <f t="shared" si="3"/>
        <v>7.6574596985946712E-4</v>
      </c>
    </row>
    <row r="61" spans="1:14" x14ac:dyDescent="0.25">
      <c r="A61">
        <f>Data!A59</f>
        <v>20160831</v>
      </c>
      <c r="B61">
        <f>Keys!B66-Keys!$B$94</f>
        <v>0.12440936746190102</v>
      </c>
      <c r="C61">
        <f t="shared" si="0"/>
        <v>1.5477690712270318E-2</v>
      </c>
      <c r="E61">
        <f>Keys!D66-Keys!$D$94</f>
        <v>-4.1164297132939967E-2</v>
      </c>
      <c r="F61">
        <f t="shared" si="1"/>
        <v>1.6944993584489696E-3</v>
      </c>
      <c r="H61">
        <f>Keys!F66-Keys!$F$94</f>
        <v>-3.9527949795292873E-2</v>
      </c>
      <c r="I61">
        <f t="shared" si="2"/>
        <v>1.5624588150191939E-3</v>
      </c>
      <c r="M61">
        <f>Data!Q59-$P$4</f>
        <v>-8.2858846153846186E-3</v>
      </c>
      <c r="N61">
        <f t="shared" si="3"/>
        <v>6.8655883859467507E-5</v>
      </c>
    </row>
    <row r="62" spans="1:14" x14ac:dyDescent="0.25">
      <c r="A62">
        <f>Data!A60</f>
        <v>20160930</v>
      </c>
      <c r="B62">
        <f>Keys!B67-Keys!$B$94</f>
        <v>-2.2525777061461149E-2</v>
      </c>
      <c r="C62">
        <f t="shared" si="0"/>
        <v>5.0741063222264926E-4</v>
      </c>
      <c r="E62">
        <f>Keys!D67-Keys!$D$94</f>
        <v>-1.5404226585948829E-2</v>
      </c>
      <c r="F62">
        <f t="shared" si="1"/>
        <v>2.3729019671125273E-4</v>
      </c>
      <c r="H62">
        <f>Keys!F67-Keys!$F$94</f>
        <v>-3.798380397764204E-4</v>
      </c>
      <c r="I62">
        <f t="shared" si="2"/>
        <v>1.4427693646119353E-7</v>
      </c>
      <c r="M62">
        <f>Data!Q60-$P$4</f>
        <v>-8.0548846153846165E-3</v>
      </c>
      <c r="N62">
        <f t="shared" si="3"/>
        <v>6.4881166167159775E-5</v>
      </c>
    </row>
    <row r="63" spans="1:14" x14ac:dyDescent="0.25">
      <c r="A63">
        <f>Data!A61</f>
        <v>20161031</v>
      </c>
      <c r="B63">
        <f>Keys!B68-Keys!$B$94</f>
        <v>-3.3854734950587245E-2</v>
      </c>
      <c r="C63">
        <f t="shared" si="0"/>
        <v>1.1461430785745135E-3</v>
      </c>
      <c r="E63">
        <f>Keys!D68-Keys!$D$94</f>
        <v>4.607436178965818E-2</v>
      </c>
      <c r="F63">
        <f t="shared" si="1"/>
        <v>2.1228468143243136E-3</v>
      </c>
      <c r="H63">
        <f>Keys!F68-Keys!$F$94</f>
        <v>-6.6163504234928477E-2</v>
      </c>
      <c r="I63">
        <f t="shared" si="2"/>
        <v>4.3776092926453986E-3</v>
      </c>
      <c r="M63">
        <f>Data!Q61-$P$4</f>
        <v>-3.2650884615384616E-2</v>
      </c>
      <c r="N63">
        <f t="shared" si="3"/>
        <v>1.0660802661671598E-3</v>
      </c>
    </row>
    <row r="64" spans="1:14" x14ac:dyDescent="0.25">
      <c r="A64">
        <f>Data!A62</f>
        <v>20161130</v>
      </c>
      <c r="B64">
        <f>Keys!B69-Keys!$B$94</f>
        <v>0.12966810870561468</v>
      </c>
      <c r="C64">
        <f t="shared" si="0"/>
        <v>1.6813818415291105E-2</v>
      </c>
      <c r="E64">
        <f>Keys!D69-Keys!$D$94</f>
        <v>6.5905452400756709E-2</v>
      </c>
      <c r="F64">
        <f t="shared" si="1"/>
        <v>4.3435286561484083E-3</v>
      </c>
      <c r="H64">
        <f>Keys!F69-Keys!$F$94</f>
        <v>1.7131455973832515E-2</v>
      </c>
      <c r="I64">
        <f t="shared" si="2"/>
        <v>2.9348678378336176E-4</v>
      </c>
      <c r="M64">
        <f>Data!Q62-$P$4</f>
        <v>2.9352115384615379E-2</v>
      </c>
      <c r="N64">
        <f t="shared" si="3"/>
        <v>8.6154667755177481E-4</v>
      </c>
    </row>
    <row r="65" spans="1:14" x14ac:dyDescent="0.25">
      <c r="A65">
        <f>Data!A63</f>
        <v>20161230</v>
      </c>
      <c r="B65">
        <f>Keys!B70-Keys!$B$94</f>
        <v>-5.807160501852994E-2</v>
      </c>
      <c r="C65">
        <f t="shared" si="0"/>
        <v>3.3723113094281517E-3</v>
      </c>
      <c r="E65">
        <f>Keys!D70-Keys!$D$94</f>
        <v>-8.9039817909114069E-2</v>
      </c>
      <c r="F65">
        <f t="shared" si="1"/>
        <v>7.9280891732881904E-3</v>
      </c>
      <c r="H65">
        <f>Keys!F70-Keys!$F$94</f>
        <v>-3.6941302616624802E-2</v>
      </c>
      <c r="I65">
        <f t="shared" si="2"/>
        <v>1.3646598390130505E-3</v>
      </c>
      <c r="M65">
        <f>Data!Q63-$P$4</f>
        <v>7.708115384615381E-3</v>
      </c>
      <c r="N65">
        <f t="shared" si="3"/>
        <v>5.9415042782544325E-5</v>
      </c>
    </row>
    <row r="66" spans="1:14" x14ac:dyDescent="0.25">
      <c r="A66">
        <f>Data!A64</f>
        <v>20170131</v>
      </c>
      <c r="B66">
        <f>Keys!B71-Keys!$B$94</f>
        <v>4.3076210408500182E-2</v>
      </c>
      <c r="C66">
        <f t="shared" si="0"/>
        <v>1.8555599031573793E-3</v>
      </c>
      <c r="E66">
        <f>Keys!D71-Keys!$D$94</f>
        <v>-3.9317761853173303E-2</v>
      </c>
      <c r="F66">
        <f t="shared" si="1"/>
        <v>1.5458863971428496E-3</v>
      </c>
      <c r="H66">
        <f>Keys!F71-Keys!$F$94</f>
        <v>2.8270996479168045E-2</v>
      </c>
      <c r="I66">
        <f t="shared" si="2"/>
        <v>7.9924924192513198E-4</v>
      </c>
      <c r="M66">
        <f>Data!Q64-$P$4</f>
        <v>1.1101115384615381E-2</v>
      </c>
      <c r="N66">
        <f t="shared" si="3"/>
        <v>1.232347627825443E-4</v>
      </c>
    </row>
    <row r="67" spans="1:14" x14ac:dyDescent="0.25">
      <c r="A67">
        <f>Data!A65</f>
        <v>20170228</v>
      </c>
      <c r="B67">
        <f>Keys!B72-Keys!$B$94</f>
        <v>-1.4108845326692503E-2</v>
      </c>
      <c r="C67">
        <f t="shared" si="0"/>
        <v>1.9905951645253289E-4</v>
      </c>
      <c r="E67">
        <f>Keys!D72-Keys!$D$94</f>
        <v>5.4349646698357151E-2</v>
      </c>
      <c r="F67">
        <f t="shared" si="1"/>
        <v>2.9538840962362446E-3</v>
      </c>
      <c r="H67">
        <f>Keys!F72-Keys!$F$94</f>
        <v>6.3346003397979717E-2</v>
      </c>
      <c r="I67">
        <f t="shared" si="2"/>
        <v>4.0127161464968576E-3</v>
      </c>
      <c r="M67">
        <f>Data!Q65-$P$4</f>
        <v>2.1570115384615382E-2</v>
      </c>
      <c r="N67">
        <f t="shared" si="3"/>
        <v>4.6526987770562122E-4</v>
      </c>
    </row>
    <row r="68" spans="1:14" x14ac:dyDescent="0.25">
      <c r="A68">
        <f>Data!A66</f>
        <v>20170331</v>
      </c>
      <c r="B68">
        <f>Keys!B73-Keys!$B$94</f>
        <v>-1.2210985386446001E-2</v>
      </c>
      <c r="C68">
        <f t="shared" si="0"/>
        <v>1.4910816410799779E-4</v>
      </c>
      <c r="E68">
        <f>Keys!D73-Keys!$D$94</f>
        <v>-5.8062531068307908E-2</v>
      </c>
      <c r="F68">
        <f t="shared" si="1"/>
        <v>3.3712575140582212E-3</v>
      </c>
      <c r="H68">
        <f>Keys!F73-Keys!$F$94</f>
        <v>3.9652068492441184E-3</v>
      </c>
      <c r="I68">
        <f t="shared" si="2"/>
        <v>1.5722865357292469E-5</v>
      </c>
      <c r="M68">
        <f>Data!Q66-$P$4</f>
        <v>-8.979884615384617E-3</v>
      </c>
      <c r="N68">
        <f t="shared" si="3"/>
        <v>8.0638327705621329E-5</v>
      </c>
    </row>
    <row r="69" spans="1:14" x14ac:dyDescent="0.25">
      <c r="A69">
        <f>Data!A67</f>
        <v>20170428</v>
      </c>
      <c r="B69">
        <f>Keys!B74-Keys!$B$94</f>
        <v>1.0504342938247584E-2</v>
      </c>
      <c r="C69">
        <f t="shared" si="0"/>
        <v>1.1034122056431188E-4</v>
      </c>
      <c r="E69">
        <f>Keys!D74-Keys!$D$94</f>
        <v>9.8714643466981528E-3</v>
      </c>
      <c r="F69">
        <f t="shared" si="1"/>
        <v>9.7445808348132788E-5</v>
      </c>
      <c r="H69">
        <f>Keys!F74-Keys!$F$94</f>
        <v>-1.6175906093474954E-2</v>
      </c>
      <c r="I69">
        <f t="shared" si="2"/>
        <v>2.6165993794492016E-4</v>
      </c>
      <c r="M69">
        <f>Data!Q67-$P$4</f>
        <v>-1.4558846153846176E-3</v>
      </c>
      <c r="N69">
        <f t="shared" si="3"/>
        <v>2.119600013313616E-6</v>
      </c>
    </row>
    <row r="70" spans="1:14" x14ac:dyDescent="0.25">
      <c r="A70">
        <f>Data!A68</f>
        <v>20170531</v>
      </c>
      <c r="B70">
        <f>Keys!B75-Keys!$B$94</f>
        <v>-0.11434817468643883</v>
      </c>
      <c r="C70">
        <f t="shared" si="0"/>
        <v>1.3075505054120331E-2</v>
      </c>
      <c r="E70">
        <f>Keys!D75-Keys!$D$94</f>
        <v>2.9641985804907373E-2</v>
      </c>
      <c r="F70">
        <f t="shared" si="1"/>
        <v>8.786473224583302E-4</v>
      </c>
      <c r="H70">
        <f>Keys!F75-Keys!$F$94</f>
        <v>-3.9806142049150006E-2</v>
      </c>
      <c r="I70">
        <f t="shared" si="2"/>
        <v>1.5845289448371083E-3</v>
      </c>
      <c r="M70">
        <f>Data!Q68-$P$4</f>
        <v>-1.7358846153846183E-3</v>
      </c>
      <c r="N70">
        <f t="shared" si="3"/>
        <v>3.0132953979290043E-6</v>
      </c>
    </row>
    <row r="71" spans="1:14" x14ac:dyDescent="0.25">
      <c r="A71">
        <f>Data!A69</f>
        <v>20170630</v>
      </c>
      <c r="B71">
        <f>Keys!B76-Keys!$B$94</f>
        <v>4.3902146462199046E-2</v>
      </c>
      <c r="C71">
        <f t="shared" ref="C71:C83" si="4">B71^2</f>
        <v>1.9273984639883762E-3</v>
      </c>
      <c r="E71">
        <f>Keys!D76-Keys!$D$94</f>
        <v>-3.0094382808600044E-2</v>
      </c>
      <c r="F71">
        <f t="shared" ref="F71:F83" si="5">E71^2</f>
        <v>9.0567187663056191E-4</v>
      </c>
      <c r="H71">
        <f>Keys!F76-Keys!$F$94</f>
        <v>1.2850127209953134E-2</v>
      </c>
      <c r="I71">
        <f t="shared" ref="I71:I83" si="6">H71^2</f>
        <v>1.6512576931197791E-4</v>
      </c>
      <c r="M71">
        <f>Data!Q69-$P$4</f>
        <v>-1.6088846153846179E-3</v>
      </c>
      <c r="N71">
        <f t="shared" ref="N71:N83" si="7">M71^2</f>
        <v>2.5885097056213099E-6</v>
      </c>
    </row>
    <row r="72" spans="1:14" x14ac:dyDescent="0.25">
      <c r="A72">
        <f>Data!A70</f>
        <v>20170731</v>
      </c>
      <c r="B72">
        <f>Keys!B77-Keys!$B$94</f>
        <v>3.8525354575761582E-3</v>
      </c>
      <c r="C72">
        <f t="shared" si="4"/>
        <v>1.4842029451881539E-5</v>
      </c>
      <c r="E72">
        <f>Keys!D77-Keys!$D$94</f>
        <v>7.3962826246530555E-4</v>
      </c>
      <c r="F72">
        <f t="shared" si="5"/>
        <v>5.4704996663744693E-7</v>
      </c>
      <c r="H72">
        <f>Keys!F77-Keys!$F$94</f>
        <v>-2.7267065950458351E-2</v>
      </c>
      <c r="I72">
        <f t="shared" si="6"/>
        <v>7.4349288554664513E-4</v>
      </c>
      <c r="M72">
        <f>Data!Q70-$P$4</f>
        <v>9.2441153846153836E-3</v>
      </c>
      <c r="N72">
        <f t="shared" si="7"/>
        <v>8.5453669244082823E-5</v>
      </c>
    </row>
    <row r="73" spans="1:14" x14ac:dyDescent="0.25">
      <c r="A73">
        <f>Data!A71</f>
        <v>20170831</v>
      </c>
      <c r="B73">
        <f>Keys!B78-Keys!$B$94</f>
        <v>-3.2165383905290959E-2</v>
      </c>
      <c r="C73">
        <f t="shared" si="4"/>
        <v>1.0346119217747507E-3</v>
      </c>
      <c r="E73">
        <f>Keys!D78-Keys!$D$94</f>
        <v>1.403884623019698E-2</v>
      </c>
      <c r="F73">
        <f t="shared" si="5"/>
        <v>1.9708920347511597E-4</v>
      </c>
      <c r="H73">
        <f>Keys!F78-Keys!$F$94</f>
        <v>-2.5355424882629922E-2</v>
      </c>
      <c r="I73">
        <f t="shared" si="6"/>
        <v>6.4289757097868861E-4</v>
      </c>
      <c r="M73">
        <f>Data!Q71-$P$4</f>
        <v>-9.4728846153846174E-3</v>
      </c>
      <c r="N73">
        <f t="shared" si="7"/>
        <v>8.9735542936390569E-5</v>
      </c>
    </row>
    <row r="74" spans="1:14" x14ac:dyDescent="0.25">
      <c r="A74">
        <f>Data!A72</f>
        <v>20170929</v>
      </c>
      <c r="B74">
        <f>Keys!B79-Keys!$B$94</f>
        <v>8.349392620614525E-2</v>
      </c>
      <c r="C74">
        <f t="shared" si="4"/>
        <v>6.9712357133172283E-3</v>
      </c>
      <c r="E74">
        <f>Keys!D79-Keys!$D$94</f>
        <v>3.2708930812377808E-2</v>
      </c>
      <c r="F74">
        <f t="shared" si="5"/>
        <v>1.0698741548889183E-3</v>
      </c>
      <c r="H74">
        <f>Keys!F79-Keys!$F$94</f>
        <v>4.0112503543378843E-2</v>
      </c>
      <c r="I74">
        <f t="shared" si="6"/>
        <v>1.6090129405175802E-3</v>
      </c>
      <c r="M74">
        <f>Data!Q72-$P$4</f>
        <v>1.2636115384615383E-2</v>
      </c>
      <c r="N74">
        <f t="shared" si="7"/>
        <v>1.5967141201331356E-4</v>
      </c>
    </row>
    <row r="75" spans="1:14" x14ac:dyDescent="0.25">
      <c r="A75">
        <f>Data!A73</f>
        <v>20171031</v>
      </c>
      <c r="B75">
        <f>Keys!B80-Keys!$B$94</f>
        <v>3.6979497559335703E-2</v>
      </c>
      <c r="C75">
        <f t="shared" si="4"/>
        <v>1.3674832397409151E-3</v>
      </c>
      <c r="E75">
        <f>Keys!D80-Keys!$D$94</f>
        <v>2.8752695689519304E-3</v>
      </c>
      <c r="F75">
        <f t="shared" si="5"/>
        <v>8.2671750941410199E-6</v>
      </c>
      <c r="H75">
        <f>Keys!F80-Keys!$F$94</f>
        <v>4.2306663989322389E-2</v>
      </c>
      <c r="I75">
        <f t="shared" si="6"/>
        <v>1.7898538179054277E-3</v>
      </c>
      <c r="M75">
        <f>Data!Q73-$P$4</f>
        <v>8.1931153846153838E-3</v>
      </c>
      <c r="N75">
        <f t="shared" si="7"/>
        <v>6.7127139705621281E-5</v>
      </c>
    </row>
    <row r="76" spans="1:14" x14ac:dyDescent="0.25">
      <c r="A76">
        <f>Data!A74</f>
        <v>20171130</v>
      </c>
      <c r="B76">
        <f>Keys!B81-Keys!$B$94</f>
        <v>0.14553699654904537</v>
      </c>
      <c r="C76">
        <f t="shared" si="4"/>
        <v>2.1181017364516844E-2</v>
      </c>
      <c r="E76">
        <f>Keys!D81-Keys!$D$94</f>
        <v>1.5895916802142397E-2</v>
      </c>
      <c r="F76">
        <f t="shared" si="5"/>
        <v>2.52680170980633E-4</v>
      </c>
      <c r="H76">
        <f>Keys!F81-Keys!$F$94</f>
        <v>-1.8786660957877316E-2</v>
      </c>
      <c r="I76">
        <f t="shared" si="6"/>
        <v>3.529386299462318E-4</v>
      </c>
      <c r="M76">
        <f>Data!Q74-$P$4</f>
        <v>1.6211115384615379E-2</v>
      </c>
      <c r="N76">
        <f t="shared" si="7"/>
        <v>2.6280026201331343E-4</v>
      </c>
    </row>
    <row r="77" spans="1:14" x14ac:dyDescent="0.25">
      <c r="A77">
        <f>Data!A75</f>
        <v>20171229</v>
      </c>
      <c r="B77">
        <f>Keys!B82-Keys!$B$94</f>
        <v>-2.9507657328025273E-2</v>
      </c>
      <c r="C77">
        <f t="shared" si="4"/>
        <v>8.7070184098816364E-4</v>
      </c>
      <c r="E77">
        <f>Keys!D82-Keys!$D$94</f>
        <v>-2.2610067713011061E-2</v>
      </c>
      <c r="F77">
        <f t="shared" si="5"/>
        <v>5.1121516198694521E-4</v>
      </c>
      <c r="H77">
        <f>Keys!F82-Keys!$F$94</f>
        <v>-1.633045449107938E-2</v>
      </c>
      <c r="I77">
        <f t="shared" si="6"/>
        <v>2.6668374388521469E-4</v>
      </c>
      <c r="M77">
        <f>Data!Q75-$P$4</f>
        <v>1.0971153846153821E-3</v>
      </c>
      <c r="N77">
        <f t="shared" si="7"/>
        <v>1.2036621671597579E-6</v>
      </c>
    </row>
    <row r="78" spans="1:14" x14ac:dyDescent="0.25">
      <c r="A78">
        <f>Data!A76</f>
        <v>20180131</v>
      </c>
      <c r="B78">
        <f>Keys!B83-Keys!$B$94</f>
        <v>3.2722993140368264E-2</v>
      </c>
      <c r="C78">
        <f t="shared" si="4"/>
        <v>1.0707942800645884E-3</v>
      </c>
      <c r="E78">
        <f>Keys!D83-Keys!$D$94</f>
        <v>8.5274337965120503E-2</v>
      </c>
      <c r="F78">
        <f t="shared" si="5"/>
        <v>7.2717127153895918E-3</v>
      </c>
      <c r="H78">
        <f>Keys!F83-Keys!$F$94</f>
        <v>5.1723799348683992E-2</v>
      </c>
      <c r="I78">
        <f t="shared" si="6"/>
        <v>2.6753514190629227E-3</v>
      </c>
      <c r="M78">
        <f>Data!Q76-$P$4</f>
        <v>3.9525115384615381E-2</v>
      </c>
      <c r="N78">
        <f t="shared" si="7"/>
        <v>1.5622347461671595E-3</v>
      </c>
    </row>
    <row r="79" spans="1:14" x14ac:dyDescent="0.25">
      <c r="A79">
        <f>Data!A77</f>
        <v>20180228</v>
      </c>
      <c r="B79">
        <f>Keys!B84-Keys!$B$94</f>
        <v>-0.12048419923630141</v>
      </c>
      <c r="C79">
        <f t="shared" si="4"/>
        <v>1.4516442265612772E-2</v>
      </c>
      <c r="E79">
        <f>Keys!D84-Keys!$D$94</f>
        <v>3.6579078308165355E-3</v>
      </c>
      <c r="F79">
        <f t="shared" si="5"/>
        <v>1.3380289698748933E-5</v>
      </c>
      <c r="H79">
        <f>Keys!F84-Keys!$F$94</f>
        <v>-7.9800721593394491E-2</v>
      </c>
      <c r="I79">
        <f t="shared" si="6"/>
        <v>6.3681551668264575E-3</v>
      </c>
      <c r="M79">
        <f>Data!Q77-$P$4</f>
        <v>-5.050688461538462E-2</v>
      </c>
      <c r="N79">
        <f t="shared" si="7"/>
        <v>2.5509453935517756E-3</v>
      </c>
    </row>
    <row r="80" spans="1:14" x14ac:dyDescent="0.25">
      <c r="A80">
        <f>Data!A78</f>
        <v>20180329</v>
      </c>
      <c r="B80">
        <f>Keys!B85-Keys!$B$94</f>
        <v>-3.7799151123792202E-2</v>
      </c>
      <c r="C80">
        <f t="shared" si="4"/>
        <v>1.4287758256792812E-3</v>
      </c>
      <c r="E80">
        <f>Keys!D85-Keys!$D$94</f>
        <v>-2.3754978057565306E-2</v>
      </c>
      <c r="F80">
        <f t="shared" si="5"/>
        <v>5.6429898251540917E-4</v>
      </c>
      <c r="H80">
        <f>Keys!F85-Keys!$F$94</f>
        <v>-4.6600894143550859E-3</v>
      </c>
      <c r="I80">
        <f t="shared" si="6"/>
        <v>2.1716433349784327E-5</v>
      </c>
      <c r="M80">
        <f>Data!Q78-$P$4</f>
        <v>-2.947688461538462E-2</v>
      </c>
      <c r="N80">
        <f t="shared" si="7"/>
        <v>8.6888672662869854E-4</v>
      </c>
    </row>
    <row r="81" spans="1:14" x14ac:dyDescent="0.25">
      <c r="A81">
        <f>Data!A79</f>
        <v>20180430</v>
      </c>
      <c r="B81">
        <f>Keys!B86-Keys!$B$94</f>
        <v>-1.8393112495357501E-2</v>
      </c>
      <c r="C81">
        <f t="shared" si="4"/>
        <v>3.3830658726687627E-4</v>
      </c>
      <c r="E81">
        <f>Keys!D86-Keys!$D$94</f>
        <v>-0.10183560057235801</v>
      </c>
      <c r="F81">
        <f t="shared" si="5"/>
        <v>1.0370489543932842E-2</v>
      </c>
      <c r="H81">
        <f>Keys!F86-Keys!$F$94</f>
        <v>3.7918435115639672E-2</v>
      </c>
      <c r="I81">
        <f t="shared" si="6"/>
        <v>1.4378077216189759E-3</v>
      </c>
      <c r="M81">
        <f>Data!Q79-$P$4</f>
        <v>-6.3128846153846178E-3</v>
      </c>
      <c r="N81">
        <f t="shared" si="7"/>
        <v>3.9852512167159795E-5</v>
      </c>
    </row>
    <row r="82" spans="1:14" x14ac:dyDescent="0.25">
      <c r="A82">
        <f>Data!A80</f>
        <v>20180531</v>
      </c>
      <c r="B82">
        <f>Keys!B87-Keys!$B$94</f>
        <v>3.9284012200451593E-2</v>
      </c>
      <c r="C82">
        <f t="shared" si="4"/>
        <v>1.5432336145652296E-3</v>
      </c>
      <c r="E82">
        <f>Keys!D87-Keys!$D$94</f>
        <v>-8.09109345467433E-3</v>
      </c>
      <c r="F82">
        <f t="shared" si="5"/>
        <v>6.5465793292273787E-5</v>
      </c>
      <c r="H82">
        <f>Keys!F87-Keys!$F$94</f>
        <v>2.0150714863379198E-3</v>
      </c>
      <c r="I82">
        <f t="shared" si="6"/>
        <v>4.0605130950521129E-6</v>
      </c>
      <c r="M82">
        <f>Data!Q80-$P$4</f>
        <v>1.5083115384615384E-2</v>
      </c>
      <c r="N82">
        <f t="shared" si="7"/>
        <v>2.2750036970562129E-4</v>
      </c>
    </row>
    <row r="83" spans="1:14" x14ac:dyDescent="0.25">
      <c r="A83">
        <f>Data!A81</f>
        <v>20180629</v>
      </c>
      <c r="B83">
        <f>Keys!B88-Keys!$B$94</f>
        <v>-1.367716145583401E-3</v>
      </c>
      <c r="C83">
        <f t="shared" si="4"/>
        <v>1.8706474548895149E-6</v>
      </c>
      <c r="E83">
        <f>Keys!D88-Keys!$D$94</f>
        <v>-8.0342484288805957E-2</v>
      </c>
      <c r="F83">
        <f t="shared" si="5"/>
        <v>6.4549147816970317E-3</v>
      </c>
      <c r="H83">
        <f>Keys!F88-Keys!$F$94</f>
        <v>-2.7672166085998189E-2</v>
      </c>
      <c r="I83">
        <f t="shared" si="6"/>
        <v>7.6574877589106831E-4</v>
      </c>
      <c r="M83">
        <f>Data!Q81-$P$4</f>
        <v>-5.7388846153846179E-3</v>
      </c>
      <c r="N83">
        <f t="shared" si="7"/>
        <v>3.2934796628698256E-5</v>
      </c>
    </row>
    <row r="84" spans="1:14" x14ac:dyDescent="0.25">
      <c r="B84">
        <f>SUM(E6:E83)</f>
        <v>0</v>
      </c>
      <c r="E84" s="2">
        <f>SUM(H6:H83)</f>
        <v>2.3245294578089215E-16</v>
      </c>
      <c r="H84">
        <f>SUM(K6:K83)</f>
        <v>0</v>
      </c>
      <c r="M84">
        <f>SUM(P6:P83)</f>
        <v>0</v>
      </c>
    </row>
    <row r="85" spans="1:14" x14ac:dyDescent="0.25">
      <c r="A85" t="s">
        <v>13</v>
      </c>
      <c r="C85">
        <f>AVERAGE(C6:C83)</f>
        <v>5.3625043801342554E-3</v>
      </c>
      <c r="F85">
        <f>AVERAGE(F6:F83)</f>
        <v>1.9020677842082263E-3</v>
      </c>
      <c r="I85">
        <f>AVERAGE(I6:I83)</f>
        <v>3.006951792192365E-3</v>
      </c>
      <c r="N85">
        <f>AVERAGE(N6:N83)</f>
        <v>7.835714055379686E-4</v>
      </c>
    </row>
    <row r="86" spans="1:14" x14ac:dyDescent="0.25">
      <c r="A86" t="s">
        <v>14</v>
      </c>
      <c r="C86">
        <f>SQRT(C85)</f>
        <v>7.322912248644152E-2</v>
      </c>
      <c r="F86">
        <f>SQRT(F85)</f>
        <v>4.3612702097075184E-2</v>
      </c>
      <c r="I86">
        <f>SQRT(I85)</f>
        <v>5.483567991912168E-2</v>
      </c>
      <c r="N86">
        <f>SQRT(N85)</f>
        <v>2.7992345481184112E-2</v>
      </c>
    </row>
    <row r="91" spans="1:14" x14ac:dyDescent="0.25">
      <c r="A91" t="s">
        <v>17</v>
      </c>
    </row>
    <row r="92" spans="1:14" x14ac:dyDescent="0.25">
      <c r="M92" t="s">
        <v>25</v>
      </c>
    </row>
    <row r="93" spans="1:14" x14ac:dyDescent="0.25">
      <c r="A93" t="s">
        <v>18</v>
      </c>
    </row>
    <row r="94" spans="1:14" x14ac:dyDescent="0.25">
      <c r="C94" s="3">
        <f>500*Data!E81</f>
        <v>26135</v>
      </c>
      <c r="F94" s="3">
        <f>500*Data!J81</f>
        <v>153850.005</v>
      </c>
      <c r="I94" s="3">
        <f>500*Data!O81</f>
        <v>18230</v>
      </c>
      <c r="M94" s="3">
        <v>100000</v>
      </c>
    </row>
    <row r="95" spans="1:14" x14ac:dyDescent="0.25">
      <c r="A95" t="s">
        <v>19</v>
      </c>
      <c r="C95">
        <f>12*Keys!B94</f>
        <v>0.19866753369275969</v>
      </c>
      <c r="F95">
        <f>12*F85</f>
        <v>2.2824813410498714E-2</v>
      </c>
      <c r="I95">
        <f>12*Keys!F94</f>
        <v>0.15526449289803865</v>
      </c>
      <c r="M95">
        <f>12*P4</f>
        <v>0.1328266153846154</v>
      </c>
    </row>
    <row r="96" spans="1:14" x14ac:dyDescent="0.25">
      <c r="A96" t="s">
        <v>20</v>
      </c>
      <c r="C96">
        <f>SQRT(12)*C86</f>
        <v>0.2536731214804025</v>
      </c>
      <c r="F96">
        <f>SQRT(12)*F86</f>
        <v>0.15107883177499987</v>
      </c>
      <c r="I96">
        <f>SQRT(12)*'Std Dev'!I86</f>
        <v>0.18995636737500635</v>
      </c>
      <c r="M96">
        <f>SQRT(12)*N86</f>
        <v>9.6968329192863897E-2</v>
      </c>
    </row>
    <row r="98" spans="1:14" x14ac:dyDescent="0.25">
      <c r="A98" t="s">
        <v>24</v>
      </c>
      <c r="C98" s="3">
        <f>C94*(1+C95)</f>
        <v>31327.175993060275</v>
      </c>
      <c r="F98" s="3">
        <f>F94*(1+F95)</f>
        <v>157361.60265732929</v>
      </c>
      <c r="I98" s="3">
        <f>I94*(1+I95)</f>
        <v>21060.471705531247</v>
      </c>
      <c r="M98" s="3">
        <f>M94*(1+M95)</f>
        <v>113282.66153846154</v>
      </c>
    </row>
    <row r="99" spans="1:14" x14ac:dyDescent="0.25">
      <c r="A99" t="s">
        <v>21</v>
      </c>
      <c r="C99" s="3">
        <f>C94*(1+C95-C96)</f>
        <v>24697.428963169958</v>
      </c>
      <c r="D99" s="3">
        <f>C94*(1+C95+C96)</f>
        <v>37956.923022950592</v>
      </c>
      <c r="F99" s="3">
        <f>F94*(1+F95-F96)</f>
        <v>134118.12363335141</v>
      </c>
      <c r="G99" s="3">
        <f>F94*(1+F95+F96)</f>
        <v>180605.08168130717</v>
      </c>
      <c r="I99" s="3">
        <f>I94*(1+I95-I96)</f>
        <v>17597.567128284882</v>
      </c>
      <c r="J99" s="3">
        <f>I94*(1+I95+I96)</f>
        <v>24523.376282777612</v>
      </c>
      <c r="M99" s="3">
        <f>M98-M96*M94</f>
        <v>103585.82861917515</v>
      </c>
      <c r="N99" s="3">
        <f>M98+M96*M94</f>
        <v>122979.49445774793</v>
      </c>
    </row>
    <row r="100" spans="1:14" x14ac:dyDescent="0.25">
      <c r="A100" s="3" t="s">
        <v>22</v>
      </c>
      <c r="C100" s="3">
        <f>C94*(1+C95-2*C96)</f>
        <v>18067.681933279637</v>
      </c>
      <c r="D100" s="3">
        <f>C94*(1+C95+2*C96)</f>
        <v>44586.670052840913</v>
      </c>
      <c r="F100" s="3">
        <f>F94*(1+F95-2*F96)</f>
        <v>110874.64460937351</v>
      </c>
      <c r="G100" s="3">
        <f>F94*(1+F95+2*F96)</f>
        <v>203848.56070528508</v>
      </c>
      <c r="I100" s="3">
        <f>I98-2*I96*I94</f>
        <v>14134.662551038517</v>
      </c>
      <c r="J100" s="3">
        <f>I98+2*I94*I96</f>
        <v>27986.280860023977</v>
      </c>
      <c r="M100" s="3">
        <f>M94*(1+M95-2*M96)</f>
        <v>93888.99569988875</v>
      </c>
      <c r="N100" s="3">
        <f>M94*(1+M95+2*M96)</f>
        <v>132676.32737703432</v>
      </c>
    </row>
    <row r="101" spans="1:14" x14ac:dyDescent="0.25">
      <c r="A101" t="s">
        <v>23</v>
      </c>
      <c r="C101" s="3">
        <f>C94*(1+C95-3*C96)</f>
        <v>11437.934903389316</v>
      </c>
      <c r="D101" s="3">
        <f>C94*(1+C95+3*C96)</f>
        <v>51216.417082731234</v>
      </c>
      <c r="F101" s="3">
        <f>F94*(1+F95-3*F96)</f>
        <v>87631.165585395618</v>
      </c>
      <c r="G101" s="3">
        <f>F94*(1+F95+3*F96)</f>
        <v>227092.03972926296</v>
      </c>
      <c r="I101" s="3">
        <f>I98-3*I94*I96</f>
        <v>10671.75797379215</v>
      </c>
      <c r="J101" s="3">
        <f>I98+3*I96*I94</f>
        <v>31449.185437270346</v>
      </c>
      <c r="M101" s="3">
        <f>M94*(1+M95-3*M96)</f>
        <v>84192.162780602375</v>
      </c>
      <c r="N101" s="3">
        <f>M94*(1+M95+3*M96)</f>
        <v>142373.16029632071</v>
      </c>
    </row>
  </sheetData>
  <phoneticPr fontId="22" type="noConversion"/>
  <pageMargins left="0.7" right="0.7" top="0.75" bottom="0.75" header="0.3" footer="0.3"/>
  <ignoredErrors>
    <ignoredError sqref="F100:G100" formula="1"/>
  </ignoredErrors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K108"/>
  <sheetViews>
    <sheetView topLeftCell="A76" zoomScale="120" zoomScaleNormal="120" workbookViewId="0">
      <selection activeCell="D100" sqref="D100"/>
    </sheetView>
  </sheetViews>
  <sheetFormatPr defaultColWidth="8.85546875" defaultRowHeight="15" x14ac:dyDescent="0.25"/>
  <cols>
    <col min="1" max="1" width="11.28515625" customWidth="1"/>
    <col min="2" max="2" width="13.28515625" customWidth="1"/>
    <col min="3" max="3" width="11.7109375" customWidth="1"/>
    <col min="6" max="6" width="13.42578125" customWidth="1"/>
    <col min="7" max="7" width="10.7109375" customWidth="1"/>
  </cols>
  <sheetData>
    <row r="1" spans="1:10" x14ac:dyDescent="0.25">
      <c r="A1" t="s">
        <v>26</v>
      </c>
    </row>
    <row r="3" spans="1:10" x14ac:dyDescent="0.25">
      <c r="A3" t="s">
        <v>27</v>
      </c>
    </row>
    <row r="5" spans="1:10" x14ac:dyDescent="0.25">
      <c r="A5" t="s">
        <v>6</v>
      </c>
      <c r="C5" t="s">
        <v>28</v>
      </c>
      <c r="D5" t="s">
        <v>29</v>
      </c>
      <c r="E5" t="s">
        <v>30</v>
      </c>
      <c r="G5" t="s">
        <v>31</v>
      </c>
      <c r="H5" t="s">
        <v>32</v>
      </c>
      <c r="J5" t="s">
        <v>33</v>
      </c>
    </row>
    <row r="6" spans="1:10" x14ac:dyDescent="0.25">
      <c r="A6">
        <f>Data!A4</f>
        <v>20120131</v>
      </c>
      <c r="C6">
        <f>'Std Dev'!B6*'Std Dev'!E6</f>
        <v>-3.4190162600022133E-3</v>
      </c>
      <c r="D6">
        <f>'Std Dev'!B6*'Std Dev'!H6</f>
        <v>6.4191254845124418E-3</v>
      </c>
      <c r="E6">
        <f>'Std Dev'!B6*'Std Dev'!M6</f>
        <v>4.6483522522650098E-3</v>
      </c>
      <c r="G6">
        <f>'Std Dev'!E6*'Std Dev'!H6</f>
        <v>-1.8773990690788874E-3</v>
      </c>
      <c r="H6">
        <f>'Std Dev'!E6*'Std Dev'!M6</f>
        <v>-1.3595017284221101E-3</v>
      </c>
      <c r="J6">
        <f>'Std Dev'!H6*'Std Dev'!M6</f>
        <v>2.552433661472973E-3</v>
      </c>
    </row>
    <row r="7" spans="1:10" x14ac:dyDescent="0.25">
      <c r="A7">
        <f>Data!A5</f>
        <v>20120229</v>
      </c>
      <c r="C7">
        <f>'Std Dev'!B7*'Std Dev'!E7</f>
        <v>1.9222678071921101E-3</v>
      </c>
      <c r="D7">
        <f>'Std Dev'!B7*'Std Dev'!H7</f>
        <v>4.9830976877269515E-3</v>
      </c>
      <c r="E7">
        <f>'Std Dev'!B7*'Std Dev'!M7</f>
        <v>3.951716188243656E-3</v>
      </c>
      <c r="G7">
        <f>'Std Dev'!E7*'Std Dev'!H7</f>
        <v>5.5733725421546029E-4</v>
      </c>
      <c r="H7">
        <f>'Std Dev'!E7*'Std Dev'!M7</f>
        <v>4.4198183295081068E-4</v>
      </c>
      <c r="J7">
        <f>'Std Dev'!H7*'Std Dev'!M7</f>
        <v>1.1457501611139421E-3</v>
      </c>
    </row>
    <row r="8" spans="1:10" x14ac:dyDescent="0.25">
      <c r="A8">
        <f>Data!A6</f>
        <v>20120330</v>
      </c>
      <c r="C8">
        <f>'Std Dev'!B8*'Std Dev'!E8</f>
        <v>2.8370494499337063E-4</v>
      </c>
      <c r="D8">
        <f>'Std Dev'!B8*'Std Dev'!H8</f>
        <v>-3.399220534056138E-3</v>
      </c>
      <c r="E8">
        <f>'Std Dev'!B8*'Std Dev'!M8</f>
        <v>-1.2072622716977992E-3</v>
      </c>
      <c r="G8">
        <f>'Std Dev'!E8*'Std Dev'!H8</f>
        <v>-1.1038417651352102E-4</v>
      </c>
      <c r="H8">
        <f>'Std Dev'!E8*'Std Dev'!M8</f>
        <v>-3.9203885232532382E-5</v>
      </c>
      <c r="J8">
        <f>'Std Dev'!H8*'Std Dev'!M8</f>
        <v>4.6972269623399835E-4</v>
      </c>
    </row>
    <row r="9" spans="1:10" x14ac:dyDescent="0.25">
      <c r="A9">
        <f>Data!A7</f>
        <v>20120430</v>
      </c>
      <c r="C9">
        <f>'Std Dev'!B9*'Std Dev'!E9</f>
        <v>-4.4035591274364317E-4</v>
      </c>
      <c r="D9">
        <f>'Std Dev'!B9*'Std Dev'!H9</f>
        <v>3.1522963374245273E-3</v>
      </c>
      <c r="E9">
        <f>'Std Dev'!B9*'Std Dev'!M9</f>
        <v>6.695344253888195E-4</v>
      </c>
      <c r="G9">
        <f>'Std Dev'!E9*'Std Dev'!H9</f>
        <v>-9.8818180993546167E-4</v>
      </c>
      <c r="H9">
        <f>'Std Dev'!E9*'Std Dev'!M9</f>
        <v>-2.0988564191759258E-4</v>
      </c>
      <c r="J9">
        <f>'Std Dev'!H9*'Std Dev'!M9</f>
        <v>1.5024704361809977E-3</v>
      </c>
    </row>
    <row r="10" spans="1:10" x14ac:dyDescent="0.25">
      <c r="A10">
        <f>Data!A8</f>
        <v>20120531</v>
      </c>
      <c r="C10">
        <f>'Std Dev'!B10*'Std Dev'!E10</f>
        <v>8.5799710272440495E-3</v>
      </c>
      <c r="D10">
        <f>'Std Dev'!B10*'Std Dev'!H10</f>
        <v>2.7240259987763439E-3</v>
      </c>
      <c r="E10">
        <f>'Std Dev'!B10*'Std Dev'!M10</f>
        <v>7.5392856754657707E-3</v>
      </c>
      <c r="G10">
        <f>'Std Dev'!E10*'Std Dev'!H10</f>
        <v>2.4121381746991617E-3</v>
      </c>
      <c r="H10">
        <f>'Std Dev'!E10*'Std Dev'!M10</f>
        <v>6.6760738685764228E-3</v>
      </c>
      <c r="J10">
        <f>'Std Dev'!H10*'Std Dev'!M10</f>
        <v>2.1195641255673278E-3</v>
      </c>
    </row>
    <row r="11" spans="1:10" x14ac:dyDescent="0.25">
      <c r="A11">
        <f>Data!A9</f>
        <v>20120629</v>
      </c>
      <c r="C11">
        <f>'Std Dev'!B11*'Std Dev'!E11</f>
        <v>-9.7982025950888261E-3</v>
      </c>
      <c r="D11">
        <f>'Std Dev'!B11*'Std Dev'!H11</f>
        <v>-1.7538418060411693E-2</v>
      </c>
      <c r="E11">
        <f>'Std Dev'!B11*'Std Dev'!M11</f>
        <v>-4.3147402424871624E-3</v>
      </c>
      <c r="G11">
        <f>'Std Dev'!E11*'Std Dev'!H11</f>
        <v>6.7740630126519761E-3</v>
      </c>
      <c r="H11">
        <f>'Std Dev'!E11*'Std Dev'!M11</f>
        <v>1.6665312792268567E-3</v>
      </c>
      <c r="J11">
        <f>'Std Dev'!H11*'Std Dev'!M11</f>
        <v>2.9830289792623279E-3</v>
      </c>
    </row>
    <row r="12" spans="1:10" x14ac:dyDescent="0.25">
      <c r="A12">
        <f>Data!A10</f>
        <v>20120731</v>
      </c>
      <c r="C12">
        <f>'Std Dev'!B12*'Std Dev'!E12</f>
        <v>6.5146315543997352E-4</v>
      </c>
      <c r="D12">
        <f>'Std Dev'!B12*'Std Dev'!H12</f>
        <v>1.5109688410899318E-3</v>
      </c>
      <c r="E12">
        <f>'Std Dev'!B12*'Std Dev'!M12</f>
        <v>-3.7796642469081084E-5</v>
      </c>
      <c r="G12">
        <f>'Std Dev'!E12*'Std Dev'!H12</f>
        <v>4.2339254223640289E-4</v>
      </c>
      <c r="H12">
        <f>'Std Dev'!E12*'Std Dev'!M12</f>
        <v>-1.059109632693753E-5</v>
      </c>
      <c r="J12">
        <f>'Std Dev'!H12*'Std Dev'!M12</f>
        <v>-2.4564423036598187E-5</v>
      </c>
    </row>
    <row r="13" spans="1:10" x14ac:dyDescent="0.25">
      <c r="A13">
        <f>Data!A11</f>
        <v>20120831</v>
      </c>
      <c r="C13">
        <f>'Std Dev'!B13*'Std Dev'!E13</f>
        <v>-2.7801040403894301E-4</v>
      </c>
      <c r="D13">
        <f>'Std Dev'!B13*'Std Dev'!H13</f>
        <v>3.0267922913823631E-3</v>
      </c>
      <c r="E13">
        <f>'Std Dev'!B13*'Std Dev'!M13</f>
        <v>7.6254341529708673E-4</v>
      </c>
      <c r="G13">
        <f>'Std Dev'!E13*'Std Dev'!H13</f>
        <v>-3.3391556481036949E-4</v>
      </c>
      <c r="H13">
        <f>'Std Dev'!E13*'Std Dev'!M13</f>
        <v>-8.4123749071352805E-5</v>
      </c>
      <c r="J13">
        <f>'Std Dev'!H13*'Std Dev'!M13</f>
        <v>9.1588340404587037E-4</v>
      </c>
    </row>
    <row r="14" spans="1:10" x14ac:dyDescent="0.25">
      <c r="A14">
        <f>Data!A12</f>
        <v>20120928</v>
      </c>
      <c r="C14">
        <f>'Std Dev'!B14*'Std Dev'!E14</f>
        <v>1.2436073005603576E-4</v>
      </c>
      <c r="D14">
        <f>'Std Dev'!B14*'Std Dev'!H14</f>
        <v>-1.4549434817830528E-4</v>
      </c>
      <c r="E14">
        <f>'Std Dev'!B14*'Std Dev'!M14</f>
        <v>-6.1753317971568837E-5</v>
      </c>
      <c r="G14">
        <f>'Std Dev'!E14*'Std Dev'!H14</f>
        <v>-1.1349357699827031E-3</v>
      </c>
      <c r="H14">
        <f>'Std Dev'!E14*'Std Dev'!M14</f>
        <v>-4.817097733250626E-4</v>
      </c>
      <c r="J14">
        <f>'Std Dev'!H14*'Std Dev'!M14</f>
        <v>5.6357058574253347E-4</v>
      </c>
    </row>
    <row r="15" spans="1:10" x14ac:dyDescent="0.25">
      <c r="A15">
        <f>Data!A13</f>
        <v>20121031</v>
      </c>
      <c r="C15">
        <f>'Std Dev'!B15*'Std Dev'!E15</f>
        <v>1.5312383982668394E-4</v>
      </c>
      <c r="D15">
        <f>'Std Dev'!B15*'Std Dev'!H15</f>
        <v>7.2792398546739324E-4</v>
      </c>
      <c r="E15">
        <f>'Std Dev'!B15*'Std Dev'!M15</f>
        <v>-3.9511860307382815E-4</v>
      </c>
      <c r="G15">
        <f>'Std Dev'!E15*'Std Dev'!H15</f>
        <v>4.5205860227112064E-4</v>
      </c>
      <c r="H15">
        <f>'Std Dev'!E15*'Std Dev'!M15</f>
        <v>-2.4537831834485344E-4</v>
      </c>
      <c r="J15">
        <f>'Std Dev'!H15*'Std Dev'!M15</f>
        <v>-1.1664856604892038E-3</v>
      </c>
    </row>
    <row r="16" spans="1:10" x14ac:dyDescent="0.25">
      <c r="A16">
        <f>Data!A14</f>
        <v>20121130</v>
      </c>
      <c r="C16">
        <f>'Std Dev'!B16*'Std Dev'!E16</f>
        <v>-2.8632506508960128E-3</v>
      </c>
      <c r="D16">
        <f>'Std Dev'!B16*'Std Dev'!H16</f>
        <v>-7.275808721609972E-4</v>
      </c>
      <c r="E16">
        <f>'Std Dev'!B16*'Std Dev'!M16</f>
        <v>-3.088340861405371E-4</v>
      </c>
      <c r="G16">
        <f>'Std Dev'!E16*'Std Dev'!H16</f>
        <v>5.1991372290411243E-4</v>
      </c>
      <c r="H16">
        <f>'Std Dev'!E16*'Std Dev'!M16</f>
        <v>2.206862297082023E-4</v>
      </c>
      <c r="J16">
        <f>'Std Dev'!H16*'Std Dev'!M16</f>
        <v>5.6078597043108631E-5</v>
      </c>
    </row>
    <row r="17" spans="1:10" x14ac:dyDescent="0.25">
      <c r="A17">
        <f>Data!A15</f>
        <v>20121231</v>
      </c>
      <c r="C17">
        <f>'Std Dev'!B17*'Std Dev'!E17</f>
        <v>-3.5631143667445766E-4</v>
      </c>
      <c r="D17">
        <f>'Std Dev'!B17*'Std Dev'!H17</f>
        <v>-1.127488693091545E-4</v>
      </c>
      <c r="E17">
        <f>'Std Dev'!B17*'Std Dev'!M17</f>
        <v>4.6618541109387637E-5</v>
      </c>
      <c r="G17">
        <f>'Std Dev'!E17*'Std Dev'!H17</f>
        <v>3.881776575699444E-5</v>
      </c>
      <c r="H17">
        <f>'Std Dev'!E17*'Std Dev'!M17</f>
        <v>-1.6050073227387072E-5</v>
      </c>
      <c r="J17">
        <f>'Std Dev'!H17*'Std Dev'!M17</f>
        <v>-5.0787805903922835E-6</v>
      </c>
    </row>
    <row r="18" spans="1:10" x14ac:dyDescent="0.25">
      <c r="A18">
        <f>Data!A16</f>
        <v>20130131</v>
      </c>
      <c r="C18">
        <f>'Std Dev'!B18*'Std Dev'!E18</f>
        <v>-4.8291803722563939E-3</v>
      </c>
      <c r="D18">
        <f>'Std Dev'!B18*'Std Dev'!H18</f>
        <v>5.4445064623272043E-3</v>
      </c>
      <c r="E18">
        <f>'Std Dev'!B18*'Std Dev'!M18</f>
        <v>3.3594348535094026E-3</v>
      </c>
      <c r="G18">
        <f>'Std Dev'!E18*'Std Dev'!H18</f>
        <v>-4.3134456737029146E-3</v>
      </c>
      <c r="H18">
        <f>'Std Dev'!E18*'Std Dev'!M18</f>
        <v>-2.6615341234736971E-3</v>
      </c>
      <c r="J18">
        <f>'Std Dev'!H18*'Std Dev'!M18</f>
        <v>3.0006623521883981E-3</v>
      </c>
    </row>
    <row r="19" spans="1:10" x14ac:dyDescent="0.25">
      <c r="A19">
        <f>Data!A17</f>
        <v>20130228</v>
      </c>
      <c r="C19">
        <f>'Std Dev'!B19*'Std Dev'!E19</f>
        <v>-5.2296736493611217E-5</v>
      </c>
      <c r="D19">
        <f>'Std Dev'!B19*'Std Dev'!H19</f>
        <v>-2.7026827697568907E-4</v>
      </c>
      <c r="E19">
        <f>'Std Dev'!B19*'Std Dev'!M19</f>
        <v>-2.3911348977288068E-5</v>
      </c>
      <c r="G19">
        <f>'Std Dev'!E19*'Std Dev'!H19</f>
        <v>1.8436063996437823E-4</v>
      </c>
      <c r="H19">
        <f>'Std Dev'!E19*'Std Dev'!M19</f>
        <v>1.6310873215286535E-5</v>
      </c>
      <c r="J19">
        <f>'Std Dev'!H19*'Std Dev'!M19</f>
        <v>8.429420066016828E-5</v>
      </c>
    </row>
    <row r="20" spans="1:10" x14ac:dyDescent="0.25">
      <c r="A20">
        <f>Data!A18</f>
        <v>20130328</v>
      </c>
      <c r="C20">
        <f>'Std Dev'!B20*'Std Dev'!E20</f>
        <v>2.9337680171362089E-3</v>
      </c>
      <c r="D20">
        <f>'Std Dev'!B20*'Std Dev'!H20</f>
        <v>3.6209954612793638E-3</v>
      </c>
      <c r="E20">
        <f>'Std Dev'!B20*'Std Dev'!M20</f>
        <v>1.6213226433067632E-3</v>
      </c>
      <c r="G20">
        <f>'Std Dev'!E20*'Std Dev'!H20</f>
        <v>2.3665399197171462E-3</v>
      </c>
      <c r="H20">
        <f>'Std Dev'!E20*'Std Dev'!M20</f>
        <v>1.0596325787083764E-3</v>
      </c>
      <c r="J20">
        <f>'Std Dev'!H20*'Std Dev'!M20</f>
        <v>1.3078487241374266E-3</v>
      </c>
    </row>
    <row r="21" spans="1:10" x14ac:dyDescent="0.25">
      <c r="A21">
        <f>Data!A19</f>
        <v>20130430</v>
      </c>
      <c r="C21">
        <f>'Std Dev'!B21*'Std Dev'!E21</f>
        <v>-2.5353451469131635E-3</v>
      </c>
      <c r="D21">
        <f>'Std Dev'!B21*'Std Dev'!H21</f>
        <v>1.8603550400085626E-3</v>
      </c>
      <c r="E21">
        <f>'Std Dev'!B21*'Std Dev'!M21</f>
        <v>-1.7724132372607372E-4</v>
      </c>
      <c r="G21">
        <f>'Std Dev'!E21*'Std Dev'!H21</f>
        <v>-2.2534506839696441E-3</v>
      </c>
      <c r="H21">
        <f>'Std Dev'!E21*'Std Dev'!M21</f>
        <v>2.1469266542604019E-4</v>
      </c>
      <c r="J21">
        <f>'Std Dev'!H21*'Std Dev'!M21</f>
        <v>-1.5753459944674178E-4</v>
      </c>
    </row>
    <row r="22" spans="1:10" x14ac:dyDescent="0.25">
      <c r="A22">
        <f>Data!A20</f>
        <v>20130531</v>
      </c>
      <c r="C22">
        <f>'Std Dev'!B22*'Std Dev'!E22</f>
        <v>5.6880677547739749E-3</v>
      </c>
      <c r="D22">
        <f>'Std Dev'!B22*'Std Dev'!H22</f>
        <v>-2.3042288829726552E-3</v>
      </c>
      <c r="E22">
        <f>'Std Dev'!B22*'Std Dev'!M22</f>
        <v>6.3393199286890624E-4</v>
      </c>
      <c r="G22">
        <f>'Std Dev'!E22*'Std Dev'!H22</f>
        <v>-2.075896339774448E-3</v>
      </c>
      <c r="H22">
        <f>'Std Dev'!E22*'Std Dev'!M22</f>
        <v>5.7111388256046822E-4</v>
      </c>
      <c r="J22">
        <f>'Std Dev'!H22*'Std Dev'!M22</f>
        <v>-2.3135749438954716E-4</v>
      </c>
    </row>
    <row r="23" spans="1:10" x14ac:dyDescent="0.25">
      <c r="A23">
        <f>Data!A21</f>
        <v>20130628</v>
      </c>
      <c r="C23">
        <f>'Std Dev'!B23*'Std Dev'!E23</f>
        <v>7.9292769793783699E-4</v>
      </c>
      <c r="D23">
        <f>'Std Dev'!B23*'Std Dev'!H23</f>
        <v>2.364855010399763E-3</v>
      </c>
      <c r="E23">
        <f>'Std Dev'!B23*'Std Dev'!M23</f>
        <v>1.0728996563221993E-3</v>
      </c>
      <c r="G23">
        <f>'Std Dev'!E23*'Std Dev'!H23</f>
        <v>1.1101034473898392E-3</v>
      </c>
      <c r="H23">
        <f>'Std Dev'!E23*'Std Dev'!M23</f>
        <v>5.0363747542616212E-4</v>
      </c>
      <c r="J23">
        <f>'Std Dev'!H23*'Std Dev'!M23</f>
        <v>1.5020658381390277E-3</v>
      </c>
    </row>
    <row r="24" spans="1:10" x14ac:dyDescent="0.25">
      <c r="A24">
        <f>Data!A22</f>
        <v>20130731</v>
      </c>
      <c r="C24">
        <f>'Std Dev'!B24*'Std Dev'!E24</f>
        <v>3.998999475542761E-3</v>
      </c>
      <c r="D24">
        <f>'Std Dev'!B24*'Std Dev'!H24</f>
        <v>-7.3515196158459306E-4</v>
      </c>
      <c r="E24">
        <f>'Std Dev'!B24*'Std Dev'!M24</f>
        <v>1.9005291527237191E-3</v>
      </c>
      <c r="G24">
        <f>'Std Dev'!E24*'Std Dev'!H24</f>
        <v>-1.4096213665937968E-3</v>
      </c>
      <c r="H24">
        <f>'Std Dev'!E24*'Std Dev'!M24</f>
        <v>3.6441805796711968E-3</v>
      </c>
      <c r="J24">
        <f>'Std Dev'!H24*'Std Dev'!M24</f>
        <v>-6.6992419426365412E-4</v>
      </c>
    </row>
    <row r="25" spans="1:10" x14ac:dyDescent="0.25">
      <c r="A25">
        <f>Data!A23</f>
        <v>20130830</v>
      </c>
      <c r="C25">
        <f>'Std Dev'!B25*'Std Dev'!E25</f>
        <v>-5.8654795223909116E-4</v>
      </c>
      <c r="D25">
        <f>'Std Dev'!B25*'Std Dev'!H25</f>
        <v>-1.5695704388102077E-3</v>
      </c>
      <c r="E25">
        <f>'Std Dev'!B25*'Std Dev'!M25</f>
        <v>-1.4045163517385733E-3</v>
      </c>
      <c r="G25">
        <f>'Std Dev'!E25*'Std Dev'!H25</f>
        <v>6.3149443876658743E-4</v>
      </c>
      <c r="H25">
        <f>'Std Dev'!E25*'Std Dev'!M25</f>
        <v>5.6508726422751794E-4</v>
      </c>
      <c r="J25">
        <f>'Std Dev'!H25*'Std Dev'!M25</f>
        <v>1.5121428041711162E-3</v>
      </c>
    </row>
    <row r="26" spans="1:10" x14ac:dyDescent="0.25">
      <c r="A26">
        <f>Data!A24</f>
        <v>20130930</v>
      </c>
      <c r="C26">
        <f>'Std Dev'!B26*'Std Dev'!E26</f>
        <v>6.3306262134029095E-4</v>
      </c>
      <c r="D26">
        <f>'Std Dev'!B26*'Std Dev'!H26</f>
        <v>2.5456471221262057E-3</v>
      </c>
      <c r="E26">
        <f>'Std Dev'!B26*'Std Dev'!M26</f>
        <v>2.0530974144821095E-3</v>
      </c>
      <c r="G26">
        <f>'Std Dev'!E26*'Std Dev'!H26</f>
        <v>2.6616059367672154E-4</v>
      </c>
      <c r="H26">
        <f>'Std Dev'!E26*'Std Dev'!M26</f>
        <v>2.1466197021772793E-4</v>
      </c>
      <c r="J26">
        <f>'Std Dev'!H26*'Std Dev'!M26</f>
        <v>8.6319047799374724E-4</v>
      </c>
    </row>
    <row r="27" spans="1:10" x14ac:dyDescent="0.25">
      <c r="A27">
        <f>Data!A25</f>
        <v>20131031</v>
      </c>
      <c r="C27">
        <f>'Std Dev'!B27*'Std Dev'!E27</f>
        <v>9.2423047911715447E-3</v>
      </c>
      <c r="D27">
        <f>'Std Dev'!B27*'Std Dev'!H27</f>
        <v>5.057868071205643E-3</v>
      </c>
      <c r="E27">
        <f>'Std Dev'!B27*'Std Dev'!M27</f>
        <v>2.552034115412495E-3</v>
      </c>
      <c r="G27">
        <f>'Std Dev'!E27*'Std Dev'!H27</f>
        <v>5.956270003012615E-3</v>
      </c>
      <c r="H27">
        <f>'Std Dev'!E27*'Std Dev'!M27</f>
        <v>3.0053382243860928E-3</v>
      </c>
      <c r="J27">
        <f>'Std Dev'!H27*'Std Dev'!M27</f>
        <v>1.6446767978065639E-3</v>
      </c>
    </row>
    <row r="28" spans="1:10" x14ac:dyDescent="0.25">
      <c r="A28">
        <f>Data!A26</f>
        <v>20131129</v>
      </c>
      <c r="C28">
        <f>'Std Dev'!B28*'Std Dev'!E28</f>
        <v>3.9510797159049909E-4</v>
      </c>
      <c r="D28">
        <f>'Std Dev'!B28*'Std Dev'!H28</f>
        <v>-2.9886474830054477E-4</v>
      </c>
      <c r="E28">
        <f>'Std Dev'!B28*'Std Dev'!M28</f>
        <v>1.8595904781529678E-4</v>
      </c>
      <c r="G28">
        <f>'Std Dev'!E28*'Std Dev'!H28</f>
        <v>-6.5796771623636793E-4</v>
      </c>
      <c r="H28">
        <f>'Std Dev'!E28*'Std Dev'!M28</f>
        <v>4.0939940458109E-4</v>
      </c>
      <c r="J28">
        <f>'Std Dev'!H28*'Std Dev'!M28</f>
        <v>-3.0967497191206392E-4</v>
      </c>
    </row>
    <row r="29" spans="1:10" x14ac:dyDescent="0.25">
      <c r="A29">
        <f>Data!A27</f>
        <v>20131231</v>
      </c>
      <c r="C29">
        <f>'Std Dev'!B29*'Std Dev'!E29</f>
        <v>-3.3661824730492557E-4</v>
      </c>
      <c r="D29">
        <f>'Std Dev'!B29*'Std Dev'!H29</f>
        <v>1.6429790907262422E-3</v>
      </c>
      <c r="E29">
        <f>'Std Dev'!B29*'Std Dev'!M29</f>
        <v>7.0948910532183469E-4</v>
      </c>
      <c r="G29">
        <f>'Std Dev'!E29*'Std Dev'!H29</f>
        <v>-2.4889467158267851E-4</v>
      </c>
      <c r="H29">
        <f>'Std Dev'!E29*'Std Dev'!M29</f>
        <v>-1.0748040486778785E-4</v>
      </c>
      <c r="J29">
        <f>'Std Dev'!H29*'Std Dev'!M29</f>
        <v>5.2459443085568736E-4</v>
      </c>
    </row>
    <row r="30" spans="1:10" x14ac:dyDescent="0.25">
      <c r="A30">
        <f>Data!A28</f>
        <v>20140131</v>
      </c>
      <c r="C30">
        <f>'Std Dev'!B30*'Std Dev'!E30</f>
        <v>1.1800232522906004E-3</v>
      </c>
      <c r="D30">
        <f>'Std Dev'!B30*'Std Dev'!H30</f>
        <v>4.8817199132334269E-3</v>
      </c>
      <c r="E30">
        <f>'Std Dev'!B30*'Std Dev'!M30</f>
        <v>3.0132374092032392E-3</v>
      </c>
      <c r="G30">
        <f>'Std Dev'!E30*'Std Dev'!H30</f>
        <v>1.0680120279352591E-3</v>
      </c>
      <c r="H30">
        <f>'Std Dev'!E30*'Std Dev'!M30</f>
        <v>6.5922950379223352E-4</v>
      </c>
      <c r="J30">
        <f>'Std Dev'!H30*'Std Dev'!M30</f>
        <v>2.7272121882400062E-3</v>
      </c>
    </row>
    <row r="31" spans="1:10" x14ac:dyDescent="0.25">
      <c r="A31">
        <f>Data!A29</f>
        <v>20140228</v>
      </c>
      <c r="C31">
        <f>'Std Dev'!B31*'Std Dev'!E31</f>
        <v>1.5776873012026055E-3</v>
      </c>
      <c r="D31">
        <f>'Std Dev'!B31*'Std Dev'!H31</f>
        <v>-9.9641541594420514E-4</v>
      </c>
      <c r="E31">
        <f>'Std Dev'!B31*'Std Dev'!M31</f>
        <v>1.9469204600136621E-3</v>
      </c>
      <c r="G31">
        <f>'Std Dev'!E31*'Std Dev'!H31</f>
        <v>-5.1066317645155981E-4</v>
      </c>
      <c r="H31">
        <f>'Std Dev'!E31*'Std Dev'!M31</f>
        <v>9.9779727461059352E-4</v>
      </c>
      <c r="J31">
        <f>'Std Dev'!H31*'Std Dev'!M31</f>
        <v>-6.3017594529109515E-4</v>
      </c>
    </row>
    <row r="32" spans="1:10" x14ac:dyDescent="0.25">
      <c r="A32">
        <f>Data!A30</f>
        <v>20140331</v>
      </c>
      <c r="C32">
        <f>'Std Dev'!B32*'Std Dev'!E32</f>
        <v>1.9418766545904162E-4</v>
      </c>
      <c r="D32">
        <f>'Std Dev'!B32*'Std Dev'!H32</f>
        <v>7.3475521405140076E-4</v>
      </c>
      <c r="E32">
        <f>'Std Dev'!B32*'Std Dev'!M32</f>
        <v>2.6299395709645086E-4</v>
      </c>
      <c r="G32">
        <f>'Std Dev'!E32*'Std Dev'!H32</f>
        <v>8.9094857494143194E-5</v>
      </c>
      <c r="H32">
        <f>'Std Dev'!E32*'Std Dev'!M32</f>
        <v>3.1890088945581709E-5</v>
      </c>
      <c r="J32">
        <f>'Std Dev'!H32*'Std Dev'!M32</f>
        <v>1.2066373563912734E-4</v>
      </c>
    </row>
    <row r="33" spans="1:10" x14ac:dyDescent="0.25">
      <c r="A33">
        <f>Data!A31</f>
        <v>20140430</v>
      </c>
      <c r="C33">
        <f>'Std Dev'!B33*'Std Dev'!E33</f>
        <v>3.0234776781608085E-4</v>
      </c>
      <c r="D33">
        <f>'Std Dev'!B33*'Std Dev'!H33</f>
        <v>-3.1419662909671341E-5</v>
      </c>
      <c r="E33">
        <f>'Std Dev'!B33*'Std Dev'!M33</f>
        <v>7.20476574732966E-5</v>
      </c>
      <c r="G33">
        <f>'Std Dev'!E33*'Std Dev'!H33</f>
        <v>-1.615293551767605E-4</v>
      </c>
      <c r="H33">
        <f>'Std Dev'!E33*'Std Dev'!M33</f>
        <v>3.7039899782233038E-4</v>
      </c>
      <c r="J33">
        <f>'Std Dev'!H33*'Std Dev'!M33</f>
        <v>-3.8491475355415981E-5</v>
      </c>
    </row>
    <row r="34" spans="1:10" x14ac:dyDescent="0.25">
      <c r="A34">
        <f>Data!A32</f>
        <v>20140530</v>
      </c>
      <c r="C34">
        <f>'Std Dev'!B34*'Std Dev'!E34</f>
        <v>7.3411787493110169E-5</v>
      </c>
      <c r="D34">
        <f>'Std Dev'!B34*'Std Dev'!H34</f>
        <v>-1.8990962836884607E-4</v>
      </c>
      <c r="E34">
        <f>'Std Dev'!B34*'Std Dev'!M34</f>
        <v>-3.6938270559830112E-5</v>
      </c>
      <c r="G34">
        <f>'Std Dev'!E34*'Std Dev'!H34</f>
        <v>-8.5492493007903155E-4</v>
      </c>
      <c r="H34">
        <f>'Std Dev'!E34*'Std Dev'!M34</f>
        <v>-1.6628671567019712E-4</v>
      </c>
      <c r="J34">
        <f>'Std Dev'!H34*'Std Dev'!M34</f>
        <v>4.3016863441129117E-4</v>
      </c>
    </row>
    <row r="35" spans="1:10" x14ac:dyDescent="0.25">
      <c r="A35">
        <f>Data!A33</f>
        <v>20140630</v>
      </c>
      <c r="C35">
        <f>'Std Dev'!B35*'Std Dev'!E35</f>
        <v>-3.4918041425856952E-3</v>
      </c>
      <c r="D35">
        <f>'Std Dev'!B35*'Std Dev'!H35</f>
        <v>3.5046162176883213E-3</v>
      </c>
      <c r="E35">
        <f>'Std Dev'!B35*'Std Dev'!M35</f>
        <v>1.4707196885271473E-3</v>
      </c>
      <c r="G35">
        <f>'Std Dev'!E35*'Std Dev'!H35</f>
        <v>-1.61110569029297E-3</v>
      </c>
      <c r="H35">
        <f>'Std Dev'!E35*'Std Dev'!M35</f>
        <v>-6.7610394743163255E-4</v>
      </c>
      <c r="J35">
        <f>'Std Dev'!H35*'Std Dev'!M35</f>
        <v>6.785846978397185E-4</v>
      </c>
    </row>
    <row r="36" spans="1:10" x14ac:dyDescent="0.25">
      <c r="A36">
        <f>Data!A34</f>
        <v>20140731</v>
      </c>
      <c r="C36">
        <f>'Std Dev'!B36*'Std Dev'!E36</f>
        <v>-3.7464111111016815E-4</v>
      </c>
      <c r="D36">
        <f>'Std Dev'!B36*'Std Dev'!H36</f>
        <v>4.0414436723735757E-3</v>
      </c>
      <c r="E36">
        <f>'Std Dev'!B36*'Std Dev'!M36</f>
        <v>1.9220596696421909E-3</v>
      </c>
      <c r="G36">
        <f>'Std Dev'!E36*'Std Dev'!H36</f>
        <v>-4.0906921143156401E-4</v>
      </c>
      <c r="H36">
        <f>'Std Dev'!E36*'Std Dev'!M36</f>
        <v>-1.945481607871003E-4</v>
      </c>
      <c r="J36">
        <f>'Std Dev'!H36*'Std Dev'!M36</f>
        <v>2.0986896794509416E-3</v>
      </c>
    </row>
    <row r="37" spans="1:10" x14ac:dyDescent="0.25">
      <c r="A37">
        <f>Data!A35</f>
        <v>20140829</v>
      </c>
      <c r="C37">
        <f>'Std Dev'!B37*'Std Dev'!E37</f>
        <v>3.3037815729562242E-4</v>
      </c>
      <c r="D37">
        <f>'Std Dev'!B37*'Std Dev'!H37</f>
        <v>1.971833501424857E-3</v>
      </c>
      <c r="E37">
        <f>'Std Dev'!B37*'Std Dev'!M37</f>
        <v>7.150622554737005E-4</v>
      </c>
      <c r="G37">
        <f>'Std Dev'!E37*'Std Dev'!H37</f>
        <v>1.0801661258449805E-3</v>
      </c>
      <c r="H37">
        <f>'Std Dev'!E37*'Std Dev'!M37</f>
        <v>3.9170955644828563E-4</v>
      </c>
      <c r="J37">
        <f>'Std Dev'!H37*'Std Dev'!M37</f>
        <v>2.3378846608853427E-3</v>
      </c>
    </row>
    <row r="38" spans="1:10" x14ac:dyDescent="0.25">
      <c r="A38">
        <f>Data!A36</f>
        <v>20140930</v>
      </c>
      <c r="C38">
        <f>'Std Dev'!B38*'Std Dev'!E38</f>
        <v>-8.5933775287542569E-4</v>
      </c>
      <c r="D38">
        <f>'Std Dev'!B38*'Std Dev'!H38</f>
        <v>5.6074932461351069E-3</v>
      </c>
      <c r="E38">
        <f>'Std Dev'!B38*'Std Dev'!M38</f>
        <v>2.7238092576844868E-3</v>
      </c>
      <c r="G38">
        <f>'Std Dev'!E38*'Std Dev'!H38</f>
        <v>-8.5056138399960761E-4</v>
      </c>
      <c r="H38">
        <f>'Std Dev'!E38*'Std Dev'!M38</f>
        <v>-4.1315555280674896E-4</v>
      </c>
      <c r="J38">
        <f>'Std Dev'!H38*'Std Dev'!M38</f>
        <v>2.695991144593542E-3</v>
      </c>
    </row>
    <row r="39" spans="1:10" x14ac:dyDescent="0.25">
      <c r="A39">
        <f>Data!A37</f>
        <v>20141031</v>
      </c>
      <c r="C39">
        <f>'Std Dev'!B39*'Std Dev'!E39</f>
        <v>-3.1639594985909694E-4</v>
      </c>
      <c r="D39">
        <f>'Std Dev'!B39*'Std Dev'!H39</f>
        <v>-8.1838128103507853E-4</v>
      </c>
      <c r="E39">
        <f>'Std Dev'!B39*'Std Dev'!M39</f>
        <v>-1.4050797324578404E-4</v>
      </c>
      <c r="G39">
        <f>'Std Dev'!E39*'Std Dev'!H39</f>
        <v>1.3429806646256836E-3</v>
      </c>
      <c r="H39">
        <f>'Std Dev'!E39*'Std Dev'!M39</f>
        <v>2.3057649981456815E-4</v>
      </c>
      <c r="J39">
        <f>'Std Dev'!H39*'Std Dev'!M39</f>
        <v>5.964029924493845E-4</v>
      </c>
    </row>
    <row r="40" spans="1:10" x14ac:dyDescent="0.25">
      <c r="A40">
        <f>Data!A38</f>
        <v>20141128</v>
      </c>
      <c r="C40">
        <f>'Std Dev'!B40*'Std Dev'!E40</f>
        <v>-2.2808221966179879E-4</v>
      </c>
      <c r="D40">
        <f>'Std Dev'!B40*'Std Dev'!H40</f>
        <v>-2.9221440300617645E-3</v>
      </c>
      <c r="E40">
        <f>'Std Dev'!B40*'Std Dev'!M40</f>
        <v>-9.8564034623848805E-4</v>
      </c>
      <c r="G40">
        <f>'Std Dev'!E40*'Std Dev'!H40</f>
        <v>6.9708720367643836E-5</v>
      </c>
      <c r="H40">
        <f>'Std Dev'!E40*'Std Dev'!M40</f>
        <v>2.3512779169052173E-5</v>
      </c>
      <c r="J40">
        <f>'Std Dev'!H40*'Std Dev'!M40</f>
        <v>3.0124104974463376E-4</v>
      </c>
    </row>
    <row r="41" spans="1:10" x14ac:dyDescent="0.25">
      <c r="A41">
        <f>Data!A39</f>
        <v>20141231</v>
      </c>
      <c r="C41">
        <f>'Std Dev'!B41*'Std Dev'!E41</f>
        <v>-7.8951973354675353E-4</v>
      </c>
      <c r="D41">
        <f>'Std Dev'!B41*'Std Dev'!H41</f>
        <v>-1.2764649059461379E-4</v>
      </c>
      <c r="E41">
        <f>'Std Dev'!B41*'Std Dev'!M41</f>
        <v>5.3767100686312431E-4</v>
      </c>
      <c r="G41">
        <f>'Std Dev'!E41*'Std Dev'!H41</f>
        <v>7.5217045500807286E-5</v>
      </c>
      <c r="H41">
        <f>'Std Dev'!E41*'Std Dev'!M41</f>
        <v>-3.1682833111429853E-4</v>
      </c>
      <c r="J41">
        <f>'Std Dev'!H41*'Std Dev'!M41</f>
        <v>-5.122357664958049E-5</v>
      </c>
    </row>
    <row r="42" spans="1:10" x14ac:dyDescent="0.25">
      <c r="A42">
        <f>Data!A40</f>
        <v>20150130</v>
      </c>
      <c r="C42">
        <f>'Std Dev'!B42*'Std Dev'!E42</f>
        <v>-5.3372957889077635E-3</v>
      </c>
      <c r="D42">
        <f>'Std Dev'!B42*'Std Dev'!H42</f>
        <v>1.8477734730326597E-3</v>
      </c>
      <c r="E42">
        <f>'Std Dev'!B42*'Std Dev'!M42</f>
        <v>5.0262218648839674E-3</v>
      </c>
      <c r="G42">
        <f>'Std Dev'!E42*'Std Dev'!H42</f>
        <v>-5.7045908491198244E-4</v>
      </c>
      <c r="H42">
        <f>'Std Dev'!E42*'Std Dev'!M42</f>
        <v>-1.5517345429255584E-3</v>
      </c>
      <c r="J42">
        <f>'Std Dev'!H42*'Std Dev'!M42</f>
        <v>5.372109845523602E-4</v>
      </c>
    </row>
    <row r="43" spans="1:10" x14ac:dyDescent="0.25">
      <c r="A43">
        <f>Data!A41</f>
        <v>20150227</v>
      </c>
      <c r="C43">
        <f>'Std Dev'!B43*'Std Dev'!E43</f>
        <v>4.6925391982669063E-3</v>
      </c>
      <c r="D43">
        <f>'Std Dev'!B43*'Std Dev'!H43</f>
        <v>-3.322261474212778E-3</v>
      </c>
      <c r="E43">
        <f>'Std Dev'!B43*'Std Dev'!M43</f>
        <v>5.8503002533731013E-3</v>
      </c>
      <c r="G43">
        <f>'Std Dev'!E43*'Std Dev'!H43</f>
        <v>-9.1780020756296451E-4</v>
      </c>
      <c r="H43">
        <f>'Std Dev'!E43*'Std Dev'!M43</f>
        <v>1.6161903054676926E-3</v>
      </c>
      <c r="J43">
        <f>'Std Dev'!H43*'Std Dev'!M43</f>
        <v>-1.1442433531156388E-3</v>
      </c>
    </row>
    <row r="44" spans="1:10" x14ac:dyDescent="0.25">
      <c r="A44">
        <f>Data!A42</f>
        <v>20150331</v>
      </c>
      <c r="C44">
        <f>'Std Dev'!B44*'Std Dev'!E44</f>
        <v>2.2189620549200417E-3</v>
      </c>
      <c r="D44">
        <f>'Std Dev'!B44*'Std Dev'!H44</f>
        <v>2.8825311011043569E-3</v>
      </c>
      <c r="E44">
        <f>'Std Dev'!B44*'Std Dev'!M44</f>
        <v>9.0168662960745966E-4</v>
      </c>
      <c r="G44">
        <f>'Std Dev'!E44*'Std Dev'!H44</f>
        <v>3.6398943579248376E-3</v>
      </c>
      <c r="H44">
        <f>'Std Dev'!E44*'Std Dev'!M44</f>
        <v>1.1385979753928887E-3</v>
      </c>
      <c r="J44">
        <f>'Std Dev'!H44*'Std Dev'!M44</f>
        <v>1.4790897701235008E-3</v>
      </c>
    </row>
    <row r="45" spans="1:10" x14ac:dyDescent="0.25">
      <c r="A45">
        <f>Data!A43</f>
        <v>20150430</v>
      </c>
      <c r="C45">
        <f>'Std Dev'!B45*'Std Dev'!E45</f>
        <v>1.5517384681986333E-3</v>
      </c>
      <c r="D45">
        <f>'Std Dev'!B45*'Std Dev'!H45</f>
        <v>1.4398350908353399E-3</v>
      </c>
      <c r="E45">
        <f>'Std Dev'!B45*'Std Dev'!M45</f>
        <v>5.453549364721917E-5</v>
      </c>
      <c r="G45">
        <f>'Std Dev'!E45*'Std Dev'!H45</f>
        <v>4.1978346826690863E-3</v>
      </c>
      <c r="H45">
        <f>'Std Dev'!E45*'Std Dev'!M45</f>
        <v>1.5899806035145236E-4</v>
      </c>
      <c r="J45">
        <f>'Std Dev'!H45*'Std Dev'!M45</f>
        <v>1.4753194005336179E-4</v>
      </c>
    </row>
    <row r="46" spans="1:10" x14ac:dyDescent="0.25">
      <c r="A46">
        <f>Data!A44</f>
        <v>20150529</v>
      </c>
      <c r="C46">
        <f>'Std Dev'!B46*'Std Dev'!E46</f>
        <v>8.5557679281148176E-4</v>
      </c>
      <c r="D46">
        <f>'Std Dev'!B46*'Std Dev'!H46</f>
        <v>1.220250925498092E-3</v>
      </c>
      <c r="E46">
        <f>'Std Dev'!B46*'Std Dev'!M46</f>
        <v>-4.4172012922853959E-5</v>
      </c>
      <c r="G46">
        <f>'Std Dev'!E46*'Std Dev'!H46</f>
        <v>2.9133366459795323E-4</v>
      </c>
      <c r="H46">
        <f>'Std Dev'!E46*'Std Dev'!M46</f>
        <v>-1.0546023058519951E-5</v>
      </c>
      <c r="J46">
        <f>'Std Dev'!H46*'Std Dev'!M46</f>
        <v>-1.5041074635972165E-5</v>
      </c>
    </row>
    <row r="47" spans="1:10" x14ac:dyDescent="0.25">
      <c r="A47">
        <f>Data!A45</f>
        <v>20150630</v>
      </c>
      <c r="C47">
        <f>'Std Dev'!B47*'Std Dev'!E47</f>
        <v>9.2779962089497355E-4</v>
      </c>
      <c r="D47">
        <f>'Std Dev'!B47*'Std Dev'!H47</f>
        <v>1.2244027351540193E-3</v>
      </c>
      <c r="E47">
        <f>'Std Dev'!B47*'Std Dev'!M47</f>
        <v>1.0147944789355031E-3</v>
      </c>
      <c r="G47">
        <f>'Std Dev'!E47*'Std Dev'!H47</f>
        <v>1.0143596407618904E-3</v>
      </c>
      <c r="H47">
        <f>'Std Dev'!E47*'Std Dev'!M47</f>
        <v>8.4070913396863754E-4</v>
      </c>
      <c r="J47">
        <f>'Std Dev'!H47*'Std Dev'!M47</f>
        <v>1.1094707735569234E-3</v>
      </c>
    </row>
    <row r="48" spans="1:10" x14ac:dyDescent="0.25">
      <c r="A48">
        <f>Data!A46</f>
        <v>20150731</v>
      </c>
      <c r="C48">
        <f>'Std Dev'!B48*'Std Dev'!E48</f>
        <v>-7.1914121587198258E-3</v>
      </c>
      <c r="D48">
        <f>'Std Dev'!B48*'Std Dev'!H48</f>
        <v>4.1874268407615656E-3</v>
      </c>
      <c r="E48">
        <f>'Std Dev'!B48*'Std Dev'!M48</f>
        <v>-1.1289635142231064E-4</v>
      </c>
      <c r="G48">
        <f>'Std Dev'!E48*'Std Dev'!H48</f>
        <v>-2.5658615214238824E-3</v>
      </c>
      <c r="H48">
        <f>'Std Dev'!E48*'Std Dev'!M48</f>
        <v>6.9177663285687868E-5</v>
      </c>
      <c r="J48">
        <f>'Std Dev'!H48*'Std Dev'!M48</f>
        <v>-4.0280879141715305E-5</v>
      </c>
    </row>
    <row r="49" spans="1:10" x14ac:dyDescent="0.25">
      <c r="A49">
        <f>Data!A47</f>
        <v>20150831</v>
      </c>
      <c r="C49">
        <f>'Std Dev'!B49*'Std Dev'!E49</f>
        <v>2.3492250664537218E-3</v>
      </c>
      <c r="D49">
        <f>'Std Dev'!B49*'Std Dev'!H49</f>
        <v>3.2898250207653076E-3</v>
      </c>
      <c r="E49">
        <f>'Std Dev'!B49*'Std Dev'!M49</f>
        <v>2.2799637838597561E-3</v>
      </c>
      <c r="G49">
        <f>'Std Dev'!E49*'Std Dev'!H49</f>
        <v>7.5088959007943035E-3</v>
      </c>
      <c r="H49">
        <f>'Std Dev'!E49*'Std Dev'!M49</f>
        <v>5.2039274437159534E-3</v>
      </c>
      <c r="J49">
        <f>'Std Dev'!H49*'Std Dev'!M49</f>
        <v>7.2875140637025234E-3</v>
      </c>
    </row>
    <row r="50" spans="1:10" x14ac:dyDescent="0.25">
      <c r="A50">
        <f>Data!A48</f>
        <v>20150930</v>
      </c>
      <c r="C50">
        <f>'Std Dev'!B50*'Std Dev'!E50</f>
        <v>1.2903197654227714E-3</v>
      </c>
      <c r="D50">
        <f>'Std Dev'!B50*'Std Dev'!H50</f>
        <v>2.7930885950989254E-3</v>
      </c>
      <c r="E50">
        <f>'Std Dev'!B50*'Std Dev'!M50</f>
        <v>5.3663412570951197E-3</v>
      </c>
      <c r="G50">
        <f>'Std Dev'!E50*'Std Dev'!H50</f>
        <v>2.5118787185261315E-4</v>
      </c>
      <c r="H50">
        <f>'Std Dev'!E50*'Std Dev'!M50</f>
        <v>4.8260547208201177E-4</v>
      </c>
      <c r="J50">
        <f>'Std Dev'!H50*'Std Dev'!M50</f>
        <v>1.0446711552643253E-3</v>
      </c>
    </row>
    <row r="51" spans="1:10" x14ac:dyDescent="0.25">
      <c r="A51">
        <f>Data!A49</f>
        <v>20151030</v>
      </c>
      <c r="C51">
        <f>'Std Dev'!B51*'Std Dev'!E51</f>
        <v>1.7928982987835868E-2</v>
      </c>
      <c r="D51">
        <f>'Std Dev'!B51*'Std Dev'!H51</f>
        <v>1.1917496846958859E-2</v>
      </c>
      <c r="E51">
        <f>'Std Dev'!B51*'Std Dev'!M51</f>
        <v>1.052748442487631E-2</v>
      </c>
      <c r="G51">
        <f>'Std Dev'!E51*'Std Dev'!H51</f>
        <v>7.623833403628778E-3</v>
      </c>
      <c r="H51">
        <f>'Std Dev'!E51*'Std Dev'!M51</f>
        <v>6.7346178853854395E-3</v>
      </c>
      <c r="J51">
        <f>'Std Dev'!H51*'Std Dev'!M51</f>
        <v>4.4765387679271563E-3</v>
      </c>
    </row>
    <row r="52" spans="1:10" x14ac:dyDescent="0.25">
      <c r="A52">
        <f>Data!A50</f>
        <v>20151130</v>
      </c>
      <c r="C52">
        <f>'Std Dev'!B52*'Std Dev'!E52</f>
        <v>3.6378390515659612E-4</v>
      </c>
      <c r="D52">
        <f>'Std Dev'!B52*'Std Dev'!H52</f>
        <v>-1.1133223282898525E-3</v>
      </c>
      <c r="E52">
        <f>'Std Dev'!B52*'Std Dev'!M52</f>
        <v>1.1447532833257354E-4</v>
      </c>
      <c r="G52">
        <f>'Std Dev'!E52*'Std Dev'!H52</f>
        <v>-2.2995766662000173E-3</v>
      </c>
      <c r="H52">
        <f>'Std Dev'!E52*'Std Dev'!M52</f>
        <v>2.3644975691230035E-4</v>
      </c>
      <c r="J52">
        <f>'Std Dev'!H52*'Std Dev'!M52</f>
        <v>-7.2362957832302743E-4</v>
      </c>
    </row>
    <row r="53" spans="1:10" x14ac:dyDescent="0.25">
      <c r="A53">
        <f>Data!A51</f>
        <v>20151231</v>
      </c>
      <c r="C53">
        <f>'Std Dev'!B53*'Std Dev'!E53</f>
        <v>1.1005285737127376E-3</v>
      </c>
      <c r="D53">
        <f>'Std Dev'!B53*'Std Dev'!H53</f>
        <v>8.0160219095744764E-3</v>
      </c>
      <c r="E53">
        <f>'Std Dev'!B53*'Std Dev'!M53</f>
        <v>3.2986321302681245E-3</v>
      </c>
      <c r="G53">
        <f>'Std Dev'!E53*'Std Dev'!H53</f>
        <v>9.0109074041111394E-4</v>
      </c>
      <c r="H53">
        <f>'Std Dev'!E53*'Std Dev'!M53</f>
        <v>3.7080323658508812E-4</v>
      </c>
      <c r="J53">
        <f>'Std Dev'!H53*'Std Dev'!M53</f>
        <v>2.700853880221967E-3</v>
      </c>
    </row>
    <row r="54" spans="1:10" x14ac:dyDescent="0.25">
      <c r="A54">
        <f>Data!A52</f>
        <v>20160129</v>
      </c>
      <c r="C54">
        <f>'Std Dev'!B54*'Std Dev'!E54</f>
        <v>5.4328285111287103E-3</v>
      </c>
      <c r="D54">
        <f>'Std Dev'!B54*'Std Dev'!H54</f>
        <v>1.9537631524380036E-2</v>
      </c>
      <c r="E54">
        <f>'Std Dev'!B54*'Std Dev'!M54</f>
        <v>8.3836740488804941E-3</v>
      </c>
      <c r="G54">
        <f>'Std Dev'!E54*'Std Dev'!H54</f>
        <v>7.0036090229411594E-3</v>
      </c>
      <c r="H54">
        <f>'Std Dev'!E54*'Std Dev'!M54</f>
        <v>3.0052760049685823E-3</v>
      </c>
      <c r="J54">
        <f>'Std Dev'!H54*'Std Dev'!M54</f>
        <v>1.0807625363815944E-2</v>
      </c>
    </row>
    <row r="55" spans="1:10" x14ac:dyDescent="0.25">
      <c r="A55">
        <f>Data!A53</f>
        <v>20160229</v>
      </c>
      <c r="C55">
        <f>'Std Dev'!B55*'Std Dev'!E55</f>
        <v>1.3128065412466158E-3</v>
      </c>
      <c r="D55">
        <f>'Std Dev'!B55*'Std Dev'!H55</f>
        <v>1.0567320316358444E-4</v>
      </c>
      <c r="E55">
        <f>'Std Dev'!B55*'Std Dev'!M55</f>
        <v>-7.2678800547252231E-4</v>
      </c>
      <c r="G55">
        <f>'Std Dev'!E55*'Std Dev'!H55</f>
        <v>2.8280304195925258E-5</v>
      </c>
      <c r="H55">
        <f>'Std Dev'!E55*'Std Dev'!M55</f>
        <v>-1.9450329189789971E-4</v>
      </c>
      <c r="J55">
        <f>'Std Dev'!H55*'Std Dev'!M55</f>
        <v>-1.5656370710337296E-5</v>
      </c>
    </row>
    <row r="56" spans="1:10" x14ac:dyDescent="0.25">
      <c r="A56">
        <f>Data!A54</f>
        <v>20160331</v>
      </c>
      <c r="C56">
        <f>'Std Dev'!B56*'Std Dev'!E56</f>
        <v>1.7524675078632322E-4</v>
      </c>
      <c r="D56">
        <f>'Std Dev'!B56*'Std Dev'!H56</f>
        <v>6.3540342722030949E-3</v>
      </c>
      <c r="E56">
        <f>'Std Dev'!B56*'Std Dev'!M56</f>
        <v>1.9709732337112452E-3</v>
      </c>
      <c r="G56">
        <f>'Std Dev'!E56*'Std Dev'!H56</f>
        <v>1.0108993331711276E-3</v>
      </c>
      <c r="H56">
        <f>'Std Dev'!E56*'Std Dev'!M56</f>
        <v>3.1357330513201762E-4</v>
      </c>
      <c r="J56">
        <f>'Std Dev'!H56*'Std Dev'!M56</f>
        <v>1.1369429211764513E-2</v>
      </c>
    </row>
    <row r="57" spans="1:10" x14ac:dyDescent="0.25">
      <c r="A57">
        <f>Data!A55</f>
        <v>20160429</v>
      </c>
      <c r="C57">
        <f>'Std Dev'!B57*'Std Dev'!E57</f>
        <v>4.2354199440318668E-4</v>
      </c>
      <c r="D57">
        <f>'Std Dev'!B57*'Std Dev'!H57</f>
        <v>5.6221035798492474E-4</v>
      </c>
      <c r="E57">
        <f>'Std Dev'!B57*'Std Dev'!M57</f>
        <v>1.736912576908731E-5</v>
      </c>
      <c r="G57">
        <f>'Std Dev'!E57*'Std Dev'!H57</f>
        <v>4.2885487515785124E-4</v>
      </c>
      <c r="H57">
        <f>'Std Dev'!E57*'Std Dev'!M57</f>
        <v>1.3249194287350165E-5</v>
      </c>
      <c r="J57">
        <f>'Std Dev'!H57*'Std Dev'!M57</f>
        <v>1.7587002851509715E-5</v>
      </c>
    </row>
    <row r="58" spans="1:10" x14ac:dyDescent="0.25">
      <c r="A58">
        <f>Data!A56</f>
        <v>20160531</v>
      </c>
      <c r="C58">
        <f>'Std Dev'!B58*'Std Dev'!E58</f>
        <v>-6.201754159787568E-4</v>
      </c>
      <c r="D58">
        <f>'Std Dev'!B58*'Std Dev'!H58</f>
        <v>2.9369596947026568E-3</v>
      </c>
      <c r="E58">
        <f>'Std Dev'!B58*'Std Dev'!M58</f>
        <v>-2.9442317340761253E-4</v>
      </c>
      <c r="G58">
        <f>'Std Dev'!E58*'Std Dev'!H58</f>
        <v>-2.1950391332054971E-4</v>
      </c>
      <c r="H58">
        <f>'Std Dev'!E58*'Std Dev'!M58</f>
        <v>2.2004741451437832E-5</v>
      </c>
      <c r="J58">
        <f>'Std Dev'!H58*'Std Dev'!M58</f>
        <v>-1.0420767587704487E-4</v>
      </c>
    </row>
    <row r="59" spans="1:10" x14ac:dyDescent="0.25">
      <c r="A59">
        <f>Data!A57</f>
        <v>20160630</v>
      </c>
      <c r="C59">
        <f>'Std Dev'!B59*'Std Dev'!E59</f>
        <v>-2.8286901765819856E-3</v>
      </c>
      <c r="D59">
        <f>'Std Dev'!B59*'Std Dev'!H59</f>
        <v>6.5254244096026332E-3</v>
      </c>
      <c r="E59">
        <f>'Std Dev'!B59*'Std Dev'!M59</f>
        <v>8.93129326495496E-4</v>
      </c>
      <c r="G59">
        <f>'Std Dev'!E59*'Std Dev'!H59</f>
        <v>-1.4591610108294544E-3</v>
      </c>
      <c r="H59">
        <f>'Std Dev'!E59*'Std Dev'!M59</f>
        <v>-1.9971413490482183E-4</v>
      </c>
      <c r="J59">
        <f>'Std Dev'!H59*'Std Dev'!M59</f>
        <v>4.607148218774979E-4</v>
      </c>
    </row>
    <row r="60" spans="1:10" x14ac:dyDescent="0.25">
      <c r="A60">
        <f>Data!A58</f>
        <v>20160729</v>
      </c>
      <c r="C60">
        <f>'Std Dev'!B60*'Std Dev'!E60</f>
        <v>1.2421099165940018E-3</v>
      </c>
      <c r="D60">
        <f>'Std Dev'!B60*'Std Dev'!H60</f>
        <v>-2.1537210182180967E-3</v>
      </c>
      <c r="E60">
        <f>'Std Dev'!B60*'Std Dev'!M60</f>
        <v>-6.9175873495043645E-4</v>
      </c>
      <c r="G60">
        <f>'Std Dev'!E60*'Std Dev'!H60</f>
        <v>-4.2807995439171822E-3</v>
      </c>
      <c r="H60">
        <f>'Std Dev'!E60*'Std Dev'!M60</f>
        <v>-1.3749601048731008E-3</v>
      </c>
      <c r="J60">
        <f>'Std Dev'!H60*'Std Dev'!M60</f>
        <v>2.3840728083040375E-3</v>
      </c>
    </row>
    <row r="61" spans="1:10" x14ac:dyDescent="0.25">
      <c r="A61">
        <f>Data!A59</f>
        <v>20160831</v>
      </c>
      <c r="C61">
        <f>'Std Dev'!B61*'Std Dev'!E61</f>
        <v>-5.1212241683228068E-3</v>
      </c>
      <c r="D61">
        <f>'Std Dev'!B61*'Std Dev'!H61</f>
        <v>-4.9176472310981665E-3</v>
      </c>
      <c r="E61">
        <f>'Std Dev'!B61*'Std Dev'!M61</f>
        <v>-1.0308416638622974E-3</v>
      </c>
      <c r="G61">
        <f>'Std Dev'!E61*'Std Dev'!H61</f>
        <v>1.6271402704293694E-3</v>
      </c>
      <c r="H61">
        <f>'Std Dev'!E61*'Std Dev'!M61</f>
        <v>3.4108261631694842E-4</v>
      </c>
      <c r="J61">
        <f>'Std Dev'!H61*'Std Dev'!M61</f>
        <v>3.275240310865128E-4</v>
      </c>
    </row>
    <row r="62" spans="1:10" x14ac:dyDescent="0.25">
      <c r="A62">
        <f>Data!A60</f>
        <v>20160930</v>
      </c>
      <c r="C62">
        <f>'Std Dev'!B62*'Std Dev'!E62</f>
        <v>3.4699217387931612E-4</v>
      </c>
      <c r="D62">
        <f>'Std Dev'!B62*'Std Dev'!H62</f>
        <v>8.5561470034660583E-6</v>
      </c>
      <c r="E62">
        <f>'Std Dev'!B62*'Std Dev'!M62</f>
        <v>1.814425351019471E-4</v>
      </c>
      <c r="G62">
        <f>'Std Dev'!E62*'Std Dev'!H62</f>
        <v>5.8511112306786242E-6</v>
      </c>
      <c r="H62">
        <f>'Std Dev'!E62*'Std Dev'!M62</f>
        <v>1.2407926773905792E-4</v>
      </c>
      <c r="J62">
        <f>'Std Dev'!H62*'Std Dev'!M62</f>
        <v>3.0595515829329388E-6</v>
      </c>
    </row>
    <row r="63" spans="1:10" x14ac:dyDescent="0.25">
      <c r="A63">
        <f>Data!A61</f>
        <v>20161031</v>
      </c>
      <c r="C63">
        <f>'Std Dev'!B63*'Std Dev'!E63</f>
        <v>-1.5598353064063422E-3</v>
      </c>
      <c r="D63">
        <f>'Std Dev'!B63*'Std Dev'!H63</f>
        <v>2.2399478992755602E-3</v>
      </c>
      <c r="E63">
        <f>'Std Dev'!B63*'Std Dev'!M63</f>
        <v>1.1053870445560529E-3</v>
      </c>
      <c r="G63">
        <f>'Std Dev'!E63*'Std Dev'!H63</f>
        <v>-3.048441231391676E-3</v>
      </c>
      <c r="H63">
        <f>'Std Dev'!E63*'Std Dev'!M63</f>
        <v>-1.5043686705216151E-3</v>
      </c>
      <c r="J63">
        <f>'Std Dev'!H63*'Std Dev'!M63</f>
        <v>2.1602969425241611E-3</v>
      </c>
    </row>
    <row r="64" spans="1:10" x14ac:dyDescent="0.25">
      <c r="A64">
        <f>Data!A62</f>
        <v>20161130</v>
      </c>
      <c r="C64">
        <f>'Std Dev'!B64*'Std Dev'!E64</f>
        <v>8.5458353661940351E-3</v>
      </c>
      <c r="D64">
        <f>'Std Dev'!B64*'Std Dev'!H64</f>
        <v>2.2214034955003667E-3</v>
      </c>
      <c r="E64">
        <f>'Std Dev'!B64*'Std Dev'!M64</f>
        <v>3.806033288432052E-3</v>
      </c>
      <c r="G64">
        <f>'Std Dev'!E64*'Std Dev'!H64</f>
        <v>1.129056356239078E-3</v>
      </c>
      <c r="H64">
        <f>'Std Dev'!E64*'Std Dev'!M64</f>
        <v>1.9344644433422877E-3</v>
      </c>
      <c r="J64">
        <f>'Std Dev'!H64*'Std Dev'!M64</f>
        <v>5.0284447245039045E-4</v>
      </c>
    </row>
    <row r="65" spans="1:10" x14ac:dyDescent="0.25">
      <c r="A65">
        <f>Data!A63</f>
        <v>20161230</v>
      </c>
      <c r="C65">
        <f>'Std Dev'!B65*'Std Dev'!E65</f>
        <v>5.1706851365399004E-3</v>
      </c>
      <c r="D65">
        <f>'Std Dev'!B65*'Std Dev'!H65</f>
        <v>2.1452407344226222E-3</v>
      </c>
      <c r="E65">
        <f>'Std Dev'!B65*'Std Dev'!M65</f>
        <v>-4.4762263205263837E-4</v>
      </c>
      <c r="G65">
        <f>'Std Dev'!E65*'Std Dev'!H65</f>
        <v>3.2892468583097514E-3</v>
      </c>
      <c r="H65">
        <f>'Std Dev'!E65*'Std Dev'!M65</f>
        <v>-6.8632919026859424E-4</v>
      </c>
      <c r="J65">
        <f>'Std Dev'!H65*'Std Dev'!M65</f>
        <v>-2.8474782302693807E-4</v>
      </c>
    </row>
    <row r="66" spans="1:10" x14ac:dyDescent="0.25">
      <c r="A66">
        <f>Data!A64</f>
        <v>20170131</v>
      </c>
      <c r="C66">
        <f>'Std Dev'!B66*'Std Dev'!E66</f>
        <v>-1.6936601823785951E-3</v>
      </c>
      <c r="D66">
        <f>'Std Dev'!B66*'Std Dev'!H66</f>
        <v>1.2178073927946106E-3</v>
      </c>
      <c r="E66">
        <f>'Std Dev'!B66*'Std Dev'!M66</f>
        <v>4.7819398207673056E-4</v>
      </c>
      <c r="G66">
        <f>'Std Dev'!E66*'Std Dev'!H66</f>
        <v>-1.1115523069198301E-3</v>
      </c>
      <c r="H66">
        <f>'Std Dev'!E66*'Std Dev'!M66</f>
        <v>-4.3647101099690593E-4</v>
      </c>
      <c r="J66">
        <f>'Std Dev'!H66*'Std Dev'!M66</f>
        <v>3.1383959395329969E-4</v>
      </c>
    </row>
    <row r="67" spans="1:10" x14ac:dyDescent="0.25">
      <c r="A67">
        <f>Data!A65</f>
        <v>20170228</v>
      </c>
      <c r="C67">
        <f>'Std Dev'!B67*'Std Dev'!E67</f>
        <v>-7.6681075882750489E-4</v>
      </c>
      <c r="D67">
        <f>'Std Dev'!B67*'Std Dev'!H67</f>
        <v>-8.937389640062335E-4</v>
      </c>
      <c r="E67">
        <f>'Std Dev'!B67*'Std Dev'!M67</f>
        <v>-3.0432942164044879E-4</v>
      </c>
      <c r="G67">
        <f>'Std Dev'!E67*'Std Dev'!H67</f>
        <v>3.4428329044331294E-3</v>
      </c>
      <c r="H67">
        <f>'Std Dev'!E67*'Std Dev'!M67</f>
        <v>1.1723281503966442E-3</v>
      </c>
      <c r="J67">
        <f>'Std Dev'!H67*'Std Dev'!M67</f>
        <v>1.3663806024486606E-3</v>
      </c>
    </row>
    <row r="68" spans="1:10" x14ac:dyDescent="0.25">
      <c r="A68">
        <f>Data!A66</f>
        <v>20170331</v>
      </c>
      <c r="C68">
        <f>'Std Dev'!B68*'Std Dev'!E68</f>
        <v>7.0900071837517477E-4</v>
      </c>
      <c r="D68">
        <f>'Std Dev'!B68*'Std Dev'!H68</f>
        <v>-4.8419082890355521E-5</v>
      </c>
      <c r="E68">
        <f>'Std Dev'!B68*'Std Dev'!M68</f>
        <v>1.0965323981043283E-4</v>
      </c>
      <c r="G68">
        <f>'Std Dev'!E68*'Std Dev'!H68</f>
        <v>-2.3022994587650395E-4</v>
      </c>
      <c r="H68">
        <f>'Std Dev'!E68*'Std Dev'!M68</f>
        <v>5.2139482947058955E-4</v>
      </c>
      <c r="J68">
        <f>'Std Dev'!H68*'Std Dev'!M68</f>
        <v>-3.5607099982344967E-5</v>
      </c>
    </row>
    <row r="69" spans="1:10" x14ac:dyDescent="0.25">
      <c r="A69">
        <f>Data!A67</f>
        <v>20170428</v>
      </c>
      <c r="C69">
        <f>'Std Dev'!B69*'Std Dev'!E69</f>
        <v>1.0369324680040154E-4</v>
      </c>
      <c r="D69">
        <f>'Std Dev'!B69*'Std Dev'!H69</f>
        <v>-1.6991726494274968E-4</v>
      </c>
      <c r="E69">
        <f>'Std Dev'!B69*'Std Dev'!M69</f>
        <v>-1.5293111278518708E-5</v>
      </c>
      <c r="G69">
        <f>'Std Dev'!E69*'Std Dev'!H69</f>
        <v>-1.5967988027727542E-4</v>
      </c>
      <c r="H69">
        <f>'Std Dev'!E69*'Std Dev'!M69</f>
        <v>-1.4371713073675606E-5</v>
      </c>
      <c r="J69">
        <f>'Std Dev'!H69*'Std Dev'!M69</f>
        <v>2.3550252821396474E-5</v>
      </c>
    </row>
    <row r="70" spans="1:10" x14ac:dyDescent="0.25">
      <c r="A70">
        <f>Data!A68</f>
        <v>20170531</v>
      </c>
      <c r="C70">
        <f>'Std Dev'!B70*'Std Dev'!E70</f>
        <v>-3.3895069708724883E-3</v>
      </c>
      <c r="D70">
        <f>'Std Dev'!B70*'Std Dev'!H70</f>
        <v>4.5517596846294034E-3</v>
      </c>
      <c r="E70">
        <f>'Std Dev'!B70*'Std Dev'!M70</f>
        <v>1.9849523723550202E-4</v>
      </c>
      <c r="G70">
        <f>'Std Dev'!E70*'Std Dev'!H70</f>
        <v>-1.179933097569031E-3</v>
      </c>
      <c r="H70">
        <f>'Std Dev'!E70*'Std Dev'!M70</f>
        <v>-5.1455067128187951E-5</v>
      </c>
      <c r="J70">
        <f>'Std Dev'!H70*'Std Dev'!M70</f>
        <v>6.9098869580934245E-5</v>
      </c>
    </row>
    <row r="71" spans="1:10" x14ac:dyDescent="0.25">
      <c r="A71">
        <f>Data!A69</f>
        <v>20170630</v>
      </c>
      <c r="C71">
        <f>'Std Dev'!B71*'Std Dev'!E71</f>
        <v>-1.3212080017526442E-3</v>
      </c>
      <c r="D71">
        <f>'Std Dev'!B71*'Std Dev'!H71</f>
        <v>5.6414816682925169E-4</v>
      </c>
      <c r="E71">
        <f>'Std Dev'!B71*'Std Dev'!M71</f>
        <v>-7.0633488025394279E-5</v>
      </c>
      <c r="G71">
        <f>'Std Dev'!E71*'Std Dev'!H71</f>
        <v>-3.8671664739553725E-4</v>
      </c>
      <c r="H71">
        <f>'Std Dev'!E71*'Std Dev'!M71</f>
        <v>4.8418389510251936E-5</v>
      </c>
      <c r="J71">
        <f>'Std Dev'!H71*'Std Dev'!M71</f>
        <v>-2.067437197382886E-5</v>
      </c>
    </row>
    <row r="72" spans="1:10" x14ac:dyDescent="0.25">
      <c r="A72">
        <f>Data!A70</f>
        <v>20170731</v>
      </c>
      <c r="C72">
        <f>'Std Dev'!B72*'Std Dev'!E72</f>
        <v>2.8494441065730346E-6</v>
      </c>
      <c r="D72">
        <f>'Std Dev'!B72*'Std Dev'!H72</f>
        <v>-1.0504733839820835E-4</v>
      </c>
      <c r="E72">
        <f>'Std Dev'!B72*'Std Dev'!M72</f>
        <v>3.5613282293156034E-5</v>
      </c>
      <c r="G72">
        <f>'Std Dev'!E72*'Std Dev'!H72</f>
        <v>-2.0167492611464405E-5</v>
      </c>
      <c r="H72">
        <f>'Std Dev'!E72*'Std Dev'!M72</f>
        <v>6.8372089999518758E-6</v>
      </c>
      <c r="J72">
        <f>'Std Dev'!H72*'Std Dev'!M72</f>
        <v>-2.5205990384595431E-4</v>
      </c>
    </row>
    <row r="73" spans="1:10" x14ac:dyDescent="0.25">
      <c r="A73">
        <f>Data!A71</f>
        <v>20170831</v>
      </c>
      <c r="C73">
        <f>'Std Dev'!B73*'Std Dev'!E73</f>
        <v>-4.5156487858163258E-4</v>
      </c>
      <c r="D73">
        <f>'Std Dev'!B73*'Std Dev'!H73</f>
        <v>8.1556697543155843E-4</v>
      </c>
      <c r="E73">
        <f>'Std Dev'!B73*'Std Dev'!M73</f>
        <v>3.0469897034437072E-4</v>
      </c>
      <c r="G73">
        <f>'Std Dev'!E73*'Std Dev'!H73</f>
        <v>-3.5596091102855181E-4</v>
      </c>
      <c r="H73">
        <f>'Std Dev'!E73*'Std Dev'!M73</f>
        <v>-1.329883704717833E-4</v>
      </c>
      <c r="J73">
        <f>'Std Dev'!H73*'Std Dev'!M73</f>
        <v>2.4018901428720532E-4</v>
      </c>
    </row>
    <row r="74" spans="1:10" x14ac:dyDescent="0.25">
      <c r="A74">
        <f>Data!A72</f>
        <v>20170929</v>
      </c>
      <c r="C74">
        <f>'Std Dev'!B74*'Std Dev'!E74</f>
        <v>2.7309970555305834E-3</v>
      </c>
      <c r="D74">
        <f>'Std Dev'!B74*'Std Dev'!H74</f>
        <v>3.3491504107946131E-3</v>
      </c>
      <c r="E74">
        <f>'Std Dev'!B74*'Std Dev'!M74</f>
        <v>1.0550388854554135E-3</v>
      </c>
      <c r="G74">
        <f>'Std Dev'!E74*'Std Dev'!H74</f>
        <v>1.3120371031116382E-3</v>
      </c>
      <c r="H74">
        <f>'Std Dev'!E74*'Std Dev'!M74</f>
        <v>4.1331382385260734E-4</v>
      </c>
      <c r="J74">
        <f>'Std Dev'!H74*'Std Dev'!M74</f>
        <v>5.0686622313992843E-4</v>
      </c>
    </row>
    <row r="75" spans="1:10" x14ac:dyDescent="0.25">
      <c r="A75">
        <f>Data!A73</f>
        <v>20171031</v>
      </c>
      <c r="C75">
        <f>'Std Dev'!B75*'Std Dev'!E75</f>
        <v>1.0632602400749013E-4</v>
      </c>
      <c r="D75">
        <f>'Std Dev'!B75*'Std Dev'!H75</f>
        <v>1.5644791777367829E-3</v>
      </c>
      <c r="E75">
        <f>'Std Dev'!B75*'Std Dev'!M75</f>
        <v>3.029772903687404E-4</v>
      </c>
      <c r="G75">
        <f>'Std Dev'!E75*'Std Dev'!H75</f>
        <v>1.2164306353237314E-4</v>
      </c>
      <c r="H75">
        <f>'Std Dev'!E75*'Std Dev'!M75</f>
        <v>2.3557415340296503E-5</v>
      </c>
      <c r="J75">
        <f>'Std Dev'!H75*'Std Dev'!M75</f>
        <v>3.4662337960267092E-4</v>
      </c>
    </row>
    <row r="76" spans="1:10" x14ac:dyDescent="0.25">
      <c r="A76">
        <f>Data!A74</f>
        <v>20171130</v>
      </c>
      <c r="C76">
        <f>'Std Dev'!B76*'Std Dev'!E76</f>
        <v>2.3134439887773101E-3</v>
      </c>
      <c r="D76">
        <f>'Std Dev'!B76*'Std Dev'!H76</f>
        <v>-2.7341542109946761E-3</v>
      </c>
      <c r="E76">
        <f>'Std Dev'!B76*'Std Dev'!M76</f>
        <v>2.3593170437869447E-3</v>
      </c>
      <c r="G76">
        <f>'Std Dev'!E76*'Std Dev'!H76</f>
        <v>-2.9863119957647459E-4</v>
      </c>
      <c r="H76">
        <f>'Std Dev'!E76*'Std Dev'!M76</f>
        <v>2.5769054142377672E-4</v>
      </c>
      <c r="J76">
        <f>'Std Dev'!H76*'Std Dev'!M76</f>
        <v>-3.0455272847979806E-4</v>
      </c>
    </row>
    <row r="77" spans="1:10" x14ac:dyDescent="0.25">
      <c r="A77">
        <f>Data!A75</f>
        <v>20171229</v>
      </c>
      <c r="C77">
        <f>'Std Dev'!B77*'Std Dev'!E77</f>
        <v>6.6717013023897848E-4</v>
      </c>
      <c r="D77">
        <f>'Std Dev'!B77*'Std Dev'!H77</f>
        <v>4.8187345513368168E-4</v>
      </c>
      <c r="E77">
        <f>'Std Dev'!B77*'Std Dev'!M77</f>
        <v>-3.2373304818535345E-5</v>
      </c>
      <c r="G77">
        <f>'Std Dev'!E77*'Std Dev'!H77</f>
        <v>3.6923268182755036E-4</v>
      </c>
      <c r="H77">
        <f>'Std Dev'!E77*'Std Dev'!M77</f>
        <v>-2.4805853135139964E-5</v>
      </c>
      <c r="J77">
        <f>'Std Dev'!H77*'Std Dev'!M77</f>
        <v>-1.791639285992455E-5</v>
      </c>
    </row>
    <row r="78" spans="1:10" x14ac:dyDescent="0.25">
      <c r="A78">
        <f>Data!A76</f>
        <v>20180131</v>
      </c>
      <c r="C78">
        <f>'Std Dev'!B78*'Std Dev'!E78</f>
        <v>2.7904315762820832E-3</v>
      </c>
      <c r="D78">
        <f>'Std Dev'!B78*'Std Dev'!H78</f>
        <v>1.6925575312807708E-3</v>
      </c>
      <c r="E78">
        <f>'Std Dev'!B78*'Std Dev'!M78</f>
        <v>1.2933800796030332E-3</v>
      </c>
      <c r="G78">
        <f>'Std Dev'!E78*'Std Dev'!H78</f>
        <v>4.4107127464997585E-3</v>
      </c>
      <c r="H78">
        <f>'Std Dev'!E78*'Std Dev'!M78</f>
        <v>3.3704780474180756E-3</v>
      </c>
      <c r="J78">
        <f>'Std Dev'!H78*'Std Dev'!M78</f>
        <v>2.0443891373874289E-3</v>
      </c>
    </row>
    <row r="79" spans="1:10" x14ac:dyDescent="0.25">
      <c r="A79">
        <f>Data!A77</f>
        <v>20180228</v>
      </c>
      <c r="C79">
        <f>'Std Dev'!B79*'Std Dev'!E79</f>
        <v>-4.4072009587612656E-4</v>
      </c>
      <c r="D79">
        <f>'Std Dev'!B79*'Std Dev'!H79</f>
        <v>9.6147260396591619E-3</v>
      </c>
      <c r="E79">
        <f>'Std Dev'!B79*'Std Dev'!M79</f>
        <v>6.0852815488048866E-3</v>
      </c>
      <c r="G79">
        <f>'Std Dev'!E79*'Std Dev'!H79</f>
        <v>-2.9190368442128791E-4</v>
      </c>
      <c r="H79">
        <f>'Std Dev'!E79*'Std Dev'!M79</f>
        <v>-1.847495287447626E-4</v>
      </c>
      <c r="J79">
        <f>'Std Dev'!H79*'Std Dev'!M79</f>
        <v>4.0304858377420072E-3</v>
      </c>
    </row>
    <row r="80" spans="1:10" x14ac:dyDescent="0.25">
      <c r="A80">
        <f>Data!A78</f>
        <v>20180329</v>
      </c>
      <c r="C80">
        <f>'Std Dev'!B80*'Std Dev'!E80</f>
        <v>8.9791800554027878E-4</v>
      </c>
      <c r="D80">
        <f>'Std Dev'!B80*'Std Dev'!H80</f>
        <v>1.7614742402359218E-4</v>
      </c>
      <c r="E80">
        <f>'Std Dev'!B80*'Std Dev'!M80</f>
        <v>1.1142012162355087E-3</v>
      </c>
      <c r="G80">
        <f>'Std Dev'!E80*'Std Dev'!H80</f>
        <v>1.1070032178429743E-4</v>
      </c>
      <c r="H80">
        <f>'Std Dev'!E80*'Std Dev'!M80</f>
        <v>7.0022274724384603E-4</v>
      </c>
      <c r="J80">
        <f>'Std Dev'!H80*'Std Dev'!M80</f>
        <v>1.3736491796432015E-4</v>
      </c>
    </row>
    <row r="81" spans="1:10" x14ac:dyDescent="0.25">
      <c r="A81">
        <f>Data!A79</f>
        <v>20180430</v>
      </c>
      <c r="C81">
        <f>'Std Dev'!B81*'Std Dev'!E81</f>
        <v>1.8730736573596735E-3</v>
      </c>
      <c r="D81">
        <f>'Std Dev'!B81*'Std Dev'!H81</f>
        <v>-6.9743804272987475E-4</v>
      </c>
      <c r="E81">
        <f>'Std Dev'!B81*'Std Dev'!M81</f>
        <v>1.1611359690098094E-4</v>
      </c>
      <c r="G81">
        <f>'Std Dev'!E81*'Std Dev'!H81</f>
        <v>-3.8614466127651552E-3</v>
      </c>
      <c r="H81">
        <f>'Std Dev'!E81*'Std Dev'!M81</f>
        <v>6.4287639615169187E-4</v>
      </c>
      <c r="J81">
        <f>'Std Dev'!H81*'Std Dev'!M81</f>
        <v>-2.3937470568098152E-4</v>
      </c>
    </row>
    <row r="82" spans="1:10" x14ac:dyDescent="0.25">
      <c r="A82">
        <f>Data!A80</f>
        <v>20180531</v>
      </c>
      <c r="C82">
        <f>'Std Dev'!B82*'Std Dev'!E82</f>
        <v>-3.1785061398842038E-4</v>
      </c>
      <c r="D82">
        <f>'Std Dev'!B82*'Std Dev'!H82</f>
        <v>7.9160092854080972E-5</v>
      </c>
      <c r="E82">
        <f>'Std Dev'!B82*'Std Dev'!M82</f>
        <v>5.9252528879004992E-4</v>
      </c>
      <c r="G82">
        <f>'Std Dev'!E82*'Std Dev'!H82</f>
        <v>-1.6304131713809617E-5</v>
      </c>
      <c r="H82">
        <f>'Std Dev'!E82*'Std Dev'!M82</f>
        <v>-1.2203889616455923E-4</v>
      </c>
      <c r="J82">
        <f>'Std Dev'!H82*'Std Dev'!M82</f>
        <v>3.0393555736683267E-5</v>
      </c>
    </row>
    <row r="83" spans="1:10" x14ac:dyDescent="0.25">
      <c r="A83">
        <f>Data!A81</f>
        <v>20180629</v>
      </c>
      <c r="C83">
        <f>'Std Dev'!B83*'Std Dev'!E83</f>
        <v>1.0988571293808064E-4</v>
      </c>
      <c r="D83">
        <f>'Std Dev'!B83*'Std Dev'!H83</f>
        <v>3.784766833908515E-5</v>
      </c>
      <c r="E83">
        <f>'Std Dev'!B83*'Std Dev'!M83</f>
        <v>7.8491651461017284E-6</v>
      </c>
      <c r="G83">
        <f>'Std Dev'!E83*'Std Dev'!H83</f>
        <v>2.2232505690015386E-3</v>
      </c>
      <c r="H83">
        <f>'Std Dev'!E83*'Std Dev'!M83</f>
        <v>4.6107624704680889E-4</v>
      </c>
      <c r="J83">
        <f>'Std Dev'!H83*'Std Dev'!M83</f>
        <v>1.5880736822530299E-4</v>
      </c>
    </row>
    <row r="85" spans="1:10" x14ac:dyDescent="0.25">
      <c r="A85" t="s">
        <v>34</v>
      </c>
      <c r="C85">
        <f>AVERAGE(C6:C83)</f>
        <v>5.7303316677845804E-4</v>
      </c>
      <c r="D85">
        <f t="shared" ref="D85:J85" si="0">AVERAGE(D6:D83)</f>
        <v>1.5779631601081233E-3</v>
      </c>
      <c r="E85">
        <f t="shared" si="0"/>
        <v>1.2352776953590708E-3</v>
      </c>
      <c r="G85">
        <f t="shared" si="0"/>
        <v>4.3953245723348617E-4</v>
      </c>
      <c r="H85">
        <f t="shared" si="0"/>
        <v>4.9573109272487011E-4</v>
      </c>
      <c r="J85">
        <f t="shared" si="0"/>
        <v>1.0812351060428317E-3</v>
      </c>
    </row>
    <row r="86" spans="1:10" x14ac:dyDescent="0.25">
      <c r="A86" t="s">
        <v>35</v>
      </c>
      <c r="C86">
        <f>'PS2'!C85/('Std Dev'!C86*'Std Dev'!F86)</f>
        <v>0.17942499155640057</v>
      </c>
      <c r="D86">
        <f>D85/('Std Dev'!C86*'Std Dev'!I86)</f>
        <v>0.39296131372103277</v>
      </c>
      <c r="E86">
        <f>E85/('Std Dev'!C86*'Std Dev'!N86)</f>
        <v>0.60261714027421442</v>
      </c>
      <c r="G86">
        <f>G85/('Std Dev'!F86*'Std Dev'!I86)</f>
        <v>0.18378697233039853</v>
      </c>
      <c r="H86">
        <f>H85/('Std Dev'!I86*'Std Dev'!N86)</f>
        <v>0.3229562077458793</v>
      </c>
      <c r="J86">
        <f>J85/('Std Dev'!I86*'Std Dev'!N86)</f>
        <v>0.70439719165065018</v>
      </c>
    </row>
    <row r="89" spans="1:10" x14ac:dyDescent="0.25">
      <c r="A89" t="s">
        <v>36</v>
      </c>
    </row>
    <row r="90" spans="1:10" x14ac:dyDescent="0.25">
      <c r="B90" t="s">
        <v>39</v>
      </c>
      <c r="C90" t="s">
        <v>40</v>
      </c>
      <c r="D90" t="s">
        <v>42</v>
      </c>
      <c r="E90" t="s">
        <v>41</v>
      </c>
      <c r="G90" t="s">
        <v>51</v>
      </c>
      <c r="H90" t="s">
        <v>49</v>
      </c>
      <c r="I90" t="s">
        <v>40</v>
      </c>
      <c r="J90" t="s">
        <v>50</v>
      </c>
    </row>
    <row r="91" spans="1:10" x14ac:dyDescent="0.25">
      <c r="A91" t="s">
        <v>37</v>
      </c>
      <c r="B91">
        <v>0.35</v>
      </c>
      <c r="C91">
        <f>B91*Keys!F97+'PS2'!B92*Keys!B97</f>
        <v>1.5289705784550609E-2</v>
      </c>
      <c r="D91">
        <f>B91^2*'Std Dev'!I85+'PS2'!B92^2*'Std Dev'!C85+2*'PS2'!B91*'PS2'!B92*'PS2'!D85</f>
        <v>3.351982932999484E-3</v>
      </c>
      <c r="E91">
        <f>SQRT(D91)</f>
        <v>5.7896311911895426E-2</v>
      </c>
      <c r="G91" t="s">
        <v>21</v>
      </c>
      <c r="H91">
        <f>I91-E91*SQRT(12)</f>
        <v>-1.7082238189908838E-2</v>
      </c>
      <c r="I91">
        <f>C91*12</f>
        <v>0.18347646941460732</v>
      </c>
      <c r="J91">
        <f>I91+SQRT(12)*E91</f>
        <v>0.38403517701912349</v>
      </c>
    </row>
    <row r="92" spans="1:10" x14ac:dyDescent="0.25">
      <c r="A92" t="s">
        <v>38</v>
      </c>
      <c r="B92">
        <f>1-B91</f>
        <v>0.65</v>
      </c>
      <c r="G92" t="s">
        <v>48</v>
      </c>
      <c r="H92">
        <f>I92-2*SQRT(12)*E91</f>
        <v>-0.217640945794425</v>
      </c>
      <c r="I92">
        <f>C91*12</f>
        <v>0.18347646941460732</v>
      </c>
      <c r="J92">
        <f>I92+2*SQRT(12)*E91</f>
        <v>0.58459388462363959</v>
      </c>
    </row>
    <row r="93" spans="1:10" x14ac:dyDescent="0.25">
      <c r="G93" t="s">
        <v>23</v>
      </c>
      <c r="H93">
        <f>I93-3*SQRT(12)*E91</f>
        <v>-0.41819965339894122</v>
      </c>
      <c r="I93">
        <f>C91*12</f>
        <v>0.18347646941460732</v>
      </c>
      <c r="J93">
        <f>I93+3*SQRT(12)*E91</f>
        <v>0.78515259222815592</v>
      </c>
    </row>
    <row r="95" spans="1:10" x14ac:dyDescent="0.25">
      <c r="A95" t="s">
        <v>38</v>
      </c>
      <c r="B95">
        <v>0.25</v>
      </c>
      <c r="C95">
        <f>B95*Keys!B94+'PS2'!B96*Keys!D94</f>
        <v>2.2340789267085492E-2</v>
      </c>
      <c r="D95">
        <f>B95^2*'Std Dev'!C85+'PS2'!B96^2*'Std Dev'!F85+2*'PS2'!B95*'PS2'!B96*'PS2'!C85</f>
        <v>1.6199570899174398E-3</v>
      </c>
      <c r="E95">
        <f>SQRT(D95)</f>
        <v>4.0248690536680072E-2</v>
      </c>
      <c r="G95" t="s">
        <v>21</v>
      </c>
      <c r="H95">
        <f>I95-E95*SQRT(12)</f>
        <v>0.12866391730973281</v>
      </c>
      <c r="I95">
        <f>C95*12</f>
        <v>0.26808947120502591</v>
      </c>
      <c r="J95">
        <f>I95+SQRT(12)*E95</f>
        <v>0.40751502510031901</v>
      </c>
    </row>
    <row r="96" spans="1:10" x14ac:dyDescent="0.25">
      <c r="A96" t="s">
        <v>43</v>
      </c>
      <c r="B96">
        <f>1-B95</f>
        <v>0.75</v>
      </c>
      <c r="G96" t="s">
        <v>48</v>
      </c>
      <c r="H96">
        <f>I96-2*SQRT(12)*E95</f>
        <v>-1.0761636585560286E-2</v>
      </c>
      <c r="I96">
        <f>C95*12</f>
        <v>0.26808947120502591</v>
      </c>
      <c r="J96">
        <f>I96+2*SQRT(12)*E95</f>
        <v>0.5469405789956121</v>
      </c>
    </row>
    <row r="97" spans="1:11" x14ac:dyDescent="0.25">
      <c r="G97" t="s">
        <v>23</v>
      </c>
      <c r="H97">
        <f>I97-3*SQRT(12)*E95</f>
        <v>-0.15018719048085338</v>
      </c>
      <c r="I97">
        <f>C95*12</f>
        <v>0.26808947120502591</v>
      </c>
      <c r="J97">
        <f>I97+3*SQRT(12)*E95</f>
        <v>0.6863661328909052</v>
      </c>
    </row>
    <row r="100" spans="1:11" x14ac:dyDescent="0.25">
      <c r="A100" t="s">
        <v>43</v>
      </c>
      <c r="B100">
        <v>0.45</v>
      </c>
      <c r="C100">
        <f>B100*Keys!B94+'PS2'!B101*Keys!F94</f>
        <v>1.4566321771305259E-2</v>
      </c>
      <c r="D100">
        <f>B100^2*'Std Dev'!F85+'PS2'!B101^2*'Std Dev'!I85+2*'PS2'!B100*'PS2'!B101*'PS2'!G85</f>
        <v>1.512340209770932E-3</v>
      </c>
      <c r="E100">
        <f>SQRT(D100)</f>
        <v>3.8888818570007137E-2</v>
      </c>
      <c r="G100" t="s">
        <v>21</v>
      </c>
      <c r="H100">
        <f>I100-E100*SQRT(12)</f>
        <v>4.0081042036502285E-2</v>
      </c>
      <c r="I100">
        <f>C100*12</f>
        <v>0.1747958612556631</v>
      </c>
      <c r="J100">
        <f>I100+SQRT(12)*E100</f>
        <v>0.30951068047482388</v>
      </c>
    </row>
    <row r="101" spans="1:11" x14ac:dyDescent="0.25">
      <c r="A101" t="s">
        <v>44</v>
      </c>
      <c r="B101">
        <f>1-B100</f>
        <v>0.55000000000000004</v>
      </c>
      <c r="G101" t="s">
        <v>48</v>
      </c>
      <c r="H101">
        <f>I101-2*SQRT(12)*E100</f>
        <v>-9.4633777182658529E-2</v>
      </c>
      <c r="I101">
        <f>C100*12</f>
        <v>0.1747958612556631</v>
      </c>
      <c r="J101">
        <f>I101+2*SQRT(12)*E100</f>
        <v>0.44422549969398473</v>
      </c>
    </row>
    <row r="102" spans="1:11" x14ac:dyDescent="0.25">
      <c r="G102" t="s">
        <v>23</v>
      </c>
      <c r="H102">
        <f>I102-3*SQRT(12)*E100</f>
        <v>-0.22934859640181937</v>
      </c>
      <c r="I102">
        <f>C100*12</f>
        <v>0.1747958612556631</v>
      </c>
      <c r="J102">
        <f>I102+3*SQRT(12)*E100</f>
        <v>0.57894031891314557</v>
      </c>
    </row>
    <row r="104" spans="1:11" x14ac:dyDescent="0.25">
      <c r="A104" t="s">
        <v>45</v>
      </c>
    </row>
    <row r="105" spans="1:11" x14ac:dyDescent="0.25">
      <c r="B105" t="s">
        <v>46</v>
      </c>
      <c r="C105" t="s">
        <v>47</v>
      </c>
      <c r="D105" t="s">
        <v>40</v>
      </c>
      <c r="E105" t="s">
        <v>42</v>
      </c>
      <c r="F105" t="s">
        <v>41</v>
      </c>
      <c r="H105" t="s">
        <v>51</v>
      </c>
      <c r="I105" t="s">
        <v>49</v>
      </c>
      <c r="J105" t="s">
        <v>40</v>
      </c>
      <c r="K105" t="s">
        <v>50</v>
      </c>
    </row>
    <row r="106" spans="1:11" x14ac:dyDescent="0.25">
      <c r="A106" t="s">
        <v>43</v>
      </c>
      <c r="B106" s="3">
        <f>500*Data!J81</f>
        <v>153850.005</v>
      </c>
      <c r="C106">
        <f>B106/B108</f>
        <v>0.80841784960280993</v>
      </c>
      <c r="D106">
        <f>C106*Keys!D94+C107*Keys!F94</f>
        <v>2.2098460865730498E-2</v>
      </c>
      <c r="E106">
        <f>C106^2*'Std Dev'!F85+C107^2*'Std Dev'!I85+'PS2'!C106*'PS2'!C107*2*'PS2'!G85</f>
        <v>1.4895907871989309E-3</v>
      </c>
      <c r="F106">
        <f>SQRT(E106)</f>
        <v>3.8595217154447144E-2</v>
      </c>
      <c r="H106" t="s">
        <v>21</v>
      </c>
      <c r="I106">
        <f>J106-F106*SQRT(12)</f>
        <v>0.13148377630745325</v>
      </c>
      <c r="J106">
        <f>D106*12</f>
        <v>0.26518153038876596</v>
      </c>
      <c r="K106">
        <f>J106+SQRT(12)*F106</f>
        <v>0.3988792844700787</v>
      </c>
    </row>
    <row r="107" spans="1:11" x14ac:dyDescent="0.25">
      <c r="A107" t="s">
        <v>37</v>
      </c>
      <c r="B107" s="3">
        <f>1000*Data!O81</f>
        <v>36460</v>
      </c>
      <c r="C107">
        <f>B107/B108</f>
        <v>0.19158215039719009</v>
      </c>
      <c r="H107" t="s">
        <v>48</v>
      </c>
      <c r="I107">
        <f>J107-2*SQRT(12)*F106</f>
        <v>-2.2139777738594546E-3</v>
      </c>
      <c r="J107">
        <f>D106*12</f>
        <v>0.26518153038876596</v>
      </c>
      <c r="K107">
        <f>J107+2*SQRT(12)*F106</f>
        <v>0.53257703855139138</v>
      </c>
    </row>
    <row r="108" spans="1:11" x14ac:dyDescent="0.25">
      <c r="B108" s="3">
        <f>B106+B107</f>
        <v>190310.005</v>
      </c>
      <c r="H108" t="s">
        <v>23</v>
      </c>
      <c r="I108">
        <f>J108-3*SQRT(12)*F106</f>
        <v>-0.13591173185517219</v>
      </c>
      <c r="J108">
        <f>D106*12</f>
        <v>0.26518153038876596</v>
      </c>
      <c r="K108">
        <f>J108+3*SQRT(12)*F106</f>
        <v>0.66627479263270417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AE17"/>
  <sheetViews>
    <sheetView tabSelected="1" topLeftCell="K1" workbookViewId="0">
      <selection activeCell="Y17" sqref="Y17"/>
    </sheetView>
  </sheetViews>
  <sheetFormatPr defaultColWidth="8.85546875" defaultRowHeight="15" x14ac:dyDescent="0.25"/>
  <cols>
    <col min="17" max="17" width="16.7109375" customWidth="1"/>
    <col min="20" max="20" width="11.85546875" customWidth="1"/>
    <col min="21" max="21" width="10.42578125" customWidth="1"/>
    <col min="22" max="22" width="16.5703125" customWidth="1"/>
    <col min="23" max="23" width="13.42578125" bestFit="1" customWidth="1"/>
    <col min="24" max="24" width="16.140625" customWidth="1"/>
    <col min="25" max="25" width="14.140625" customWidth="1"/>
    <col min="26" max="26" width="13.7109375" customWidth="1"/>
    <col min="27" max="27" width="14.140625" customWidth="1"/>
    <col min="28" max="28" width="11" customWidth="1"/>
  </cols>
  <sheetData>
    <row r="1" spans="1:31" x14ac:dyDescent="0.25">
      <c r="A1" t="s">
        <v>52</v>
      </c>
    </row>
    <row r="2" spans="1:31" x14ac:dyDescent="0.25">
      <c r="A2" t="s">
        <v>53</v>
      </c>
    </row>
    <row r="4" spans="1:31" x14ac:dyDescent="0.25">
      <c r="A4" t="s">
        <v>54</v>
      </c>
      <c r="J4" t="s">
        <v>58</v>
      </c>
      <c r="R4">
        <f>'Std Dev'!N85</f>
        <v>7.835714055379686E-4</v>
      </c>
      <c r="T4" t="s">
        <v>62</v>
      </c>
      <c r="U4">
        <v>8.5000000000000006E-2</v>
      </c>
      <c r="V4" t="s">
        <v>63</v>
      </c>
      <c r="W4">
        <v>3.5000000000000003E-2</v>
      </c>
      <c r="X4" t="s">
        <v>66</v>
      </c>
      <c r="AA4">
        <f>U4-W4</f>
        <v>0.05</v>
      </c>
      <c r="AC4" t="s">
        <v>67</v>
      </c>
      <c r="AE4">
        <v>0.23</v>
      </c>
    </row>
    <row r="7" spans="1:31" x14ac:dyDescent="0.25">
      <c r="E7" t="s">
        <v>59</v>
      </c>
      <c r="G7" s="14" t="s">
        <v>60</v>
      </c>
      <c r="H7" s="14"/>
      <c r="J7" s="14" t="s">
        <v>61</v>
      </c>
      <c r="K7" s="14"/>
      <c r="M7" t="s">
        <v>65</v>
      </c>
      <c r="Q7" t="s">
        <v>64</v>
      </c>
      <c r="T7" t="s">
        <v>68</v>
      </c>
      <c r="U7" t="s">
        <v>69</v>
      </c>
      <c r="V7" s="6" t="s">
        <v>71</v>
      </c>
      <c r="W7" t="s">
        <v>72</v>
      </c>
      <c r="X7" s="8" t="s">
        <v>75</v>
      </c>
      <c r="Y7" s="8" t="s">
        <v>96</v>
      </c>
      <c r="Z7" t="s">
        <v>74</v>
      </c>
      <c r="AA7" s="4" t="s">
        <v>77</v>
      </c>
      <c r="AB7" s="4" t="s">
        <v>76</v>
      </c>
    </row>
    <row r="8" spans="1:31" x14ac:dyDescent="0.25">
      <c r="A8" t="s">
        <v>55</v>
      </c>
      <c r="C8">
        <f>'PS2'!E85</f>
        <v>1.2352776953590708E-3</v>
      </c>
      <c r="E8">
        <f>C8/R4</f>
        <v>1.5764711251950023</v>
      </c>
      <c r="G8" s="14">
        <f>E8^2*R4</f>
        <v>1.9473796183310035E-3</v>
      </c>
      <c r="H8" s="14"/>
      <c r="J8" s="14">
        <f>'Std Dev'!C85-'PS3'!G8</f>
        <v>3.4151247618032518E-3</v>
      </c>
      <c r="K8" s="14"/>
      <c r="M8">
        <f>J8/(G8+J8)</f>
        <v>0.63685258224772789</v>
      </c>
      <c r="Q8">
        <f>W4+E8*AA4</f>
        <v>0.11382355625975013</v>
      </c>
      <c r="T8" s="6">
        <v>87560000</v>
      </c>
      <c r="U8">
        <f>Data!E81</f>
        <v>52.27</v>
      </c>
      <c r="V8" s="6">
        <f>T8*U8</f>
        <v>4576761200</v>
      </c>
      <c r="W8" s="6">
        <v>1200000</v>
      </c>
      <c r="X8" s="8">
        <v>0.03</v>
      </c>
      <c r="Y8" s="8">
        <f>0.5*X8</f>
        <v>1.4999999999999999E-2</v>
      </c>
      <c r="Z8" s="4">
        <f>(1-$AE$4)*($W$4+Y8)</f>
        <v>3.8500000000000006E-2</v>
      </c>
      <c r="AA8" s="7">
        <f>V8+W8</f>
        <v>4577961200</v>
      </c>
      <c r="AB8">
        <f>(V8/AA8)*Q8+(W8/AA8)*Z8</f>
        <v>0.11380381204096739</v>
      </c>
    </row>
    <row r="9" spans="1:31" x14ac:dyDescent="0.25">
      <c r="X9" s="8"/>
      <c r="Y9" s="8"/>
      <c r="Z9" s="4"/>
      <c r="AA9" s="4"/>
    </row>
    <row r="10" spans="1:31" x14ac:dyDescent="0.25">
      <c r="A10" t="s">
        <v>56</v>
      </c>
      <c r="C10">
        <f>'PS2'!H85</f>
        <v>4.9573109272487011E-4</v>
      </c>
      <c r="E10">
        <f>C10/R4</f>
        <v>0.63265592544756155</v>
      </c>
      <c r="G10" s="14">
        <f>E10^2*R4</f>
        <v>3.1362721324098365E-4</v>
      </c>
      <c r="H10" s="14"/>
      <c r="J10" s="14">
        <f>'Std Dev'!F85-'PS3'!G10</f>
        <v>1.5884405709672427E-3</v>
      </c>
      <c r="K10" s="14"/>
      <c r="M10">
        <f>J10/(G10+J10)</f>
        <v>0.8351124939684853</v>
      </c>
      <c r="Q10">
        <f>W4+E10*AA4</f>
        <v>6.6632796272378086E-2</v>
      </c>
      <c r="T10" s="6">
        <v>173620000</v>
      </c>
      <c r="U10" s="5">
        <f>Data!J81</f>
        <v>307.70001000000002</v>
      </c>
      <c r="V10" s="6">
        <f>T10*U10</f>
        <v>53422875736.200005</v>
      </c>
      <c r="W10" s="6">
        <v>16000000000</v>
      </c>
      <c r="X10" s="8">
        <v>1.4999999999999999E-2</v>
      </c>
      <c r="Y10" s="8">
        <f>0.5*X10</f>
        <v>7.4999999999999997E-3</v>
      </c>
      <c r="Z10" s="8">
        <f>(1-$AE$4)*($W$4+Y10)</f>
        <v>3.2725000000000004E-2</v>
      </c>
      <c r="AA10" s="7">
        <f>V10+W10</f>
        <v>69422875736.200012</v>
      </c>
      <c r="AB10">
        <f>(V10/AA10)*Q10+(W10/AA10)*Z10</f>
        <v>5.8818012822329291E-2</v>
      </c>
    </row>
    <row r="11" spans="1:31" x14ac:dyDescent="0.25">
      <c r="X11" s="8"/>
      <c r="Y11" s="8"/>
      <c r="Z11" s="4"/>
      <c r="AA11" s="4"/>
    </row>
    <row r="12" spans="1:31" x14ac:dyDescent="0.25">
      <c r="A12" t="s">
        <v>57</v>
      </c>
      <c r="C12">
        <f>'PS2'!J85</f>
        <v>1.0812351060428317E-3</v>
      </c>
      <c r="E12">
        <f>C12/R4</f>
        <v>1.3798807593042515</v>
      </c>
      <c r="G12" s="14">
        <f>E12^2*R4</f>
        <v>1.4919755191127953E-3</v>
      </c>
      <c r="H12" s="14"/>
      <c r="J12" s="14">
        <f>'Std Dev'!I85-'PS3'!G12</f>
        <v>1.5149762730795697E-3</v>
      </c>
      <c r="K12" s="14"/>
      <c r="M12">
        <f>J12/(G12+J12)</f>
        <v>0.50382459639467725</v>
      </c>
      <c r="Q12">
        <f>W4+E12*AA4</f>
        <v>0.10399403796521257</v>
      </c>
      <c r="T12" s="6">
        <v>749200000</v>
      </c>
      <c r="U12">
        <f>Data!O81</f>
        <v>36.46</v>
      </c>
      <c r="V12" s="6">
        <f>T12*U12</f>
        <v>27315832000</v>
      </c>
      <c r="W12" s="6">
        <v>8000000000</v>
      </c>
      <c r="X12" s="8">
        <v>2.8000000000000001E-2</v>
      </c>
      <c r="Y12" s="8">
        <f>0.5*X12</f>
        <v>1.4E-2</v>
      </c>
      <c r="Z12" s="8">
        <f>(1-$AE$4)*($W$4+Y12)</f>
        <v>3.773E-2</v>
      </c>
      <c r="AA12" s="7">
        <f>V12+W12</f>
        <v>35315832000</v>
      </c>
      <c r="AB12">
        <f>(V12/AA12)*Q12+(W12/AA12)*Z12</f>
        <v>8.8983424489599117E-2</v>
      </c>
    </row>
    <row r="14" spans="1:31" x14ac:dyDescent="0.25">
      <c r="W14" s="6" t="s">
        <v>73</v>
      </c>
    </row>
    <row r="17" spans="22:22" x14ac:dyDescent="0.25">
      <c r="V17" t="s">
        <v>70</v>
      </c>
    </row>
  </sheetData>
  <mergeCells count="8">
    <mergeCell ref="G7:H7"/>
    <mergeCell ref="G8:H8"/>
    <mergeCell ref="G10:H10"/>
    <mergeCell ref="G12:H12"/>
    <mergeCell ref="J7:K7"/>
    <mergeCell ref="J8:K8"/>
    <mergeCell ref="J10:K10"/>
    <mergeCell ref="J12:K12"/>
  </mergeCells>
  <phoneticPr fontId="22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Keys</vt:lpstr>
      <vt:lpstr>Std Dev</vt:lpstr>
      <vt:lpstr>PS2</vt:lpstr>
      <vt:lpstr>PS3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ilamo</dc:creator>
  <cp:lastModifiedBy>Christopher Lamoureux</cp:lastModifiedBy>
  <dcterms:created xsi:type="dcterms:W3CDTF">2018-12-26T21:18:25Z</dcterms:created>
  <dcterms:modified xsi:type="dcterms:W3CDTF">2019-02-04T20:10:27Z</dcterms:modified>
</cp:coreProperties>
</file>