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lamlap/classes/510/2023/510B/Class/"/>
    </mc:Choice>
  </mc:AlternateContent>
  <xr:revisionPtr revIDLastSave="0" documentId="8_{3B66B14F-71E9-D94E-BA9A-C9DBE92C7E5E}" xr6:coauthVersionLast="47" xr6:coauthVersionMax="47" xr10:uidLastSave="{00000000-0000-0000-0000-000000000000}"/>
  <bookViews>
    <workbookView xWindow="0" yWindow="500" windowWidth="19200" windowHeight="6940" tabRatio="500" activeTab="1" xr2:uid="{00000000-000D-0000-FFFF-FFFF00000000}"/>
  </bookViews>
  <sheets>
    <sheet name="Discussion" sheetId="2" r:id="rId1"/>
    <sheet name="NPV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N4" i="1" l="1"/>
  <c r="F16" i="1" s="1"/>
  <c r="D2" i="1"/>
  <c r="C13" i="1" l="1"/>
  <c r="D13" i="1" s="1"/>
  <c r="E13" i="1" s="1"/>
  <c r="F13" i="1" s="1"/>
  <c r="G13" i="1" l="1"/>
  <c r="H13" i="1" s="1"/>
  <c r="I13" i="1" s="1"/>
  <c r="J13" i="1" s="1"/>
  <c r="K13" i="1" s="1"/>
  <c r="L13" i="1" s="1"/>
  <c r="M13" i="1" s="1"/>
  <c r="N13" i="1" s="1"/>
  <c r="O13" i="1" s="1"/>
  <c r="P13" i="1" s="1"/>
  <c r="Q13" i="1" s="1"/>
  <c r="R13" i="1" s="1"/>
  <c r="K14" i="1" l="1"/>
  <c r="J14" i="1"/>
  <c r="L14" i="1"/>
  <c r="G14" i="1"/>
  <c r="G16" i="1"/>
  <c r="H16" i="1"/>
  <c r="I16" i="1"/>
  <c r="J16" i="1"/>
  <c r="K16" i="1"/>
  <c r="L16" i="1"/>
  <c r="M16" i="1"/>
  <c r="F2" i="1"/>
  <c r="M5" i="1"/>
  <c r="F14" i="1" s="1"/>
  <c r="H2" i="1"/>
  <c r="F1" i="1"/>
  <c r="R15" i="1"/>
  <c r="C12" i="1"/>
  <c r="R12" i="1" s="1"/>
  <c r="C11" i="1"/>
  <c r="D11" i="1"/>
  <c r="N2" i="1"/>
  <c r="P1" i="1"/>
  <c r="I14" i="1" l="1"/>
  <c r="Q14" i="1"/>
  <c r="P14" i="1"/>
  <c r="H14" i="1"/>
  <c r="N14" i="1"/>
  <c r="O14" i="1"/>
  <c r="M14" i="1"/>
  <c r="R14" i="1"/>
  <c r="K1" i="1"/>
  <c r="O2" i="1"/>
  <c r="P2" i="1" s="1"/>
  <c r="D9" i="1" l="1"/>
  <c r="D19" i="1" s="1"/>
  <c r="E9" i="1"/>
  <c r="E19" i="1" s="1"/>
  <c r="F9" i="1"/>
  <c r="F19" i="1" s="1"/>
  <c r="G9" i="1"/>
  <c r="G19" i="1" s="1"/>
  <c r="H9" i="1"/>
  <c r="H19" i="1" s="1"/>
  <c r="I9" i="1"/>
  <c r="I19" i="1" s="1"/>
  <c r="Q9" i="1"/>
  <c r="Q19" i="1" s="1"/>
  <c r="R9" i="1"/>
  <c r="R19" i="1" s="1"/>
  <c r="C9" i="1"/>
  <c r="C19" i="1" s="1"/>
  <c r="J9" i="1"/>
  <c r="J19" i="1" s="1"/>
  <c r="K9" i="1"/>
  <c r="K19" i="1" s="1"/>
  <c r="L9" i="1"/>
  <c r="L19" i="1" s="1"/>
  <c r="B20" i="1" s="1"/>
  <c r="M9" i="1"/>
  <c r="M19" i="1" s="1"/>
  <c r="N9" i="1"/>
  <c r="N19" i="1" s="1"/>
  <c r="O9" i="1"/>
  <c r="O19" i="1" s="1"/>
  <c r="P9" i="1"/>
  <c r="P19" i="1" s="1"/>
  <c r="Q2" i="1"/>
  <c r="R2" i="1" l="1"/>
  <c r="R5" i="1" s="1"/>
  <c r="S2" i="1" l="1"/>
</calcChain>
</file>

<file path=xl/sharedStrings.xml><?xml version="1.0" encoding="utf-8"?>
<sst xmlns="http://schemas.openxmlformats.org/spreadsheetml/2006/main" count="49" uniqueCount="48">
  <si>
    <t>2) What is the effect on the project's desirability if the riskfree interest rate were to increase to 6.5%?</t>
    <phoneticPr fontId="2" type="noConversion"/>
  </si>
  <si>
    <t xml:space="preserve">  All other cells follow from these assumptions.</t>
    <phoneticPr fontId="2" type="noConversion"/>
  </si>
  <si>
    <t>Project Cash Flow Timeline</t>
    <phoneticPr fontId="2" type="noConversion"/>
  </si>
  <si>
    <t>Cash</t>
    <phoneticPr fontId="2" type="noConversion"/>
  </si>
  <si>
    <t>WACC:</t>
    <phoneticPr fontId="2" type="noConversion"/>
  </si>
  <si>
    <t>ke:</t>
    <phoneticPr fontId="2" type="noConversion"/>
  </si>
  <si>
    <t>rf</t>
    <phoneticPr fontId="2" type="noConversion"/>
  </si>
  <si>
    <t>E(Rm)</t>
    <phoneticPr fontId="2" type="noConversion"/>
  </si>
  <si>
    <t>ytm</t>
    <phoneticPr fontId="2" type="noConversion"/>
  </si>
  <si>
    <t>tax rate:</t>
    <phoneticPr fontId="2" type="noConversion"/>
  </si>
  <si>
    <t>beta:</t>
    <phoneticPr fontId="2" type="noConversion"/>
  </si>
  <si>
    <t>kd</t>
    <phoneticPr fontId="2" type="noConversion"/>
  </si>
  <si>
    <t>we</t>
    <phoneticPr fontId="2" type="noConversion"/>
  </si>
  <si>
    <t>wd</t>
    <phoneticPr fontId="2" type="noConversion"/>
  </si>
  <si>
    <t>Install / Construction:</t>
    <phoneticPr fontId="2" type="noConversion"/>
  </si>
  <si>
    <t>Annual Cost reduction:</t>
    <phoneticPr fontId="2" type="noConversion"/>
  </si>
  <si>
    <t>tons</t>
    <phoneticPr fontId="2" type="noConversion"/>
  </si>
  <si>
    <t>old:</t>
    <phoneticPr fontId="2" type="noConversion"/>
  </si>
  <si>
    <t>new:</t>
    <phoneticPr fontId="2" type="noConversion"/>
  </si>
  <si>
    <t>savings per ton:</t>
    <phoneticPr fontId="2" type="noConversion"/>
  </si>
  <si>
    <t>growth rate:</t>
    <phoneticPr fontId="2" type="noConversion"/>
  </si>
  <si>
    <t>After-tax Cost savings:</t>
    <phoneticPr fontId="2" type="noConversion"/>
  </si>
  <si>
    <t>Inventory:</t>
    <phoneticPr fontId="2" type="noConversion"/>
  </si>
  <si>
    <t>Deprec Tax Savings:</t>
    <phoneticPr fontId="2" type="noConversion"/>
  </si>
  <si>
    <t>Deprec life:</t>
    <phoneticPr fontId="2" type="noConversion"/>
  </si>
  <si>
    <t>Deprec:</t>
    <phoneticPr fontId="2" type="noConversion"/>
  </si>
  <si>
    <t>S-L:</t>
    <phoneticPr fontId="2" type="noConversion"/>
  </si>
  <si>
    <t>MACRS Table:</t>
    <phoneticPr fontId="2" type="noConversion"/>
  </si>
  <si>
    <t>Salvage:</t>
    <phoneticPr fontId="2" type="noConversion"/>
  </si>
  <si>
    <t>Depreciable Base:</t>
    <phoneticPr fontId="2" type="noConversion"/>
  </si>
  <si>
    <t>PV:</t>
    <phoneticPr fontId="2" type="noConversion"/>
  </si>
  <si>
    <t>NPV:</t>
    <phoneticPr fontId="2" type="noConversion"/>
  </si>
  <si>
    <t>Land</t>
    <phoneticPr fontId="2" type="noConversion"/>
  </si>
  <si>
    <t>Total Invst:</t>
    <phoneticPr fontId="2" type="noConversion"/>
  </si>
  <si>
    <t>I place assumptions / project unknowns in highlighted cells.  We can manipulate these to do sensitivity analyses.</t>
    <phoneticPr fontId="2" type="noConversion"/>
  </si>
  <si>
    <t>An example is that we can ask questions such as what if our estimated construction costs are 15% too low?</t>
    <phoneticPr fontId="2" type="noConversion"/>
  </si>
  <si>
    <t xml:space="preserve">   We can identify break-even assumptions such as what is the minimum per-ton saving that would make this project viable, holding other assumptions fixed, etc.</t>
    <phoneticPr fontId="2" type="noConversion"/>
  </si>
  <si>
    <t>We can identify policy-related questions such as:</t>
    <phoneticPr fontId="2" type="noConversion"/>
  </si>
  <si>
    <t>1) What is the effect on the project's desirability if the corporate tax rate were to increase to 50%?</t>
    <phoneticPr fontId="2" type="noConversion"/>
  </si>
  <si>
    <t>debt risk premium</t>
  </si>
  <si>
    <t>Tons of material needed:</t>
  </si>
  <si>
    <t>Up until this point we have studied the capital markets.  Our goal is to understand how risk is measured and priced in the capital markets.</t>
  </si>
  <si>
    <t>In our curriculum classes in capital markets include: Investments, Fixed Income, and Derivatives.</t>
  </si>
  <si>
    <t>We now look at decision making inside a company.  This field is Corporate Finance.</t>
  </si>
  <si>
    <t>In our curriculum classes in corporate finance include: Corporate Finance, Fin Modeling.</t>
  </si>
  <si>
    <t>This distinction is however not productive.  Those working inside corporations have to understand how capital markets work.</t>
  </si>
  <si>
    <t>cc df:</t>
  </si>
  <si>
    <t>Time (Years):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</si>
</sst>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Verdana"/>
    </font>
    <font>
      <b/>
      <sz val="10"/>
      <name val="Verdana"/>
      <family val="2"/>
    </font>
    <font>
      <sz val="8"/>
      <name val="Verdana"/>
      <family val="2"/>
    </font>
    <font>
      <sz val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3" fontId="0" fillId="0" borderId="0" xfId="0" applyNumberFormat="1"/>
    <xf numFmtId="3" fontId="1" fillId="0" borderId="0" xfId="0" applyNumberFormat="1" applyFont="1"/>
    <xf numFmtId="0" fontId="0" fillId="2" borderId="0" xfId="0" applyFill="1"/>
    <xf numFmtId="3" fontId="0" fillId="2" borderId="0" xfId="0" applyNumberFormat="1" applyFill="1"/>
    <xf numFmtId="0" fontId="0" fillId="0" borderId="0" xfId="0" applyAlignment="1">
      <alignment horizont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92B46-5055-4249-8755-743E4A819D79}">
  <sheetPr published="0"/>
  <dimension ref="A1:B6"/>
  <sheetViews>
    <sheetView zoomScale="130" zoomScaleNormal="130" workbookViewId="0">
      <selection activeCell="A7" sqref="A7"/>
    </sheetView>
  </sheetViews>
  <sheetFormatPr baseColWidth="10" defaultColWidth="8.83203125" defaultRowHeight="13" x14ac:dyDescent="0.15"/>
  <sheetData>
    <row r="1" spans="1:2" x14ac:dyDescent="0.15">
      <c r="A1" t="s">
        <v>41</v>
      </c>
    </row>
    <row r="2" spans="1:2" x14ac:dyDescent="0.15">
      <c r="B2" t="s">
        <v>42</v>
      </c>
    </row>
    <row r="3" spans="1:2" x14ac:dyDescent="0.15">
      <c r="A3" t="s">
        <v>43</v>
      </c>
    </row>
    <row r="4" spans="1:2" x14ac:dyDescent="0.15">
      <c r="B4" t="s">
        <v>44</v>
      </c>
    </row>
    <row r="6" spans="1:2" x14ac:dyDescent="0.15">
      <c r="A6" t="s">
        <v>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/>
  <dimension ref="A1:AA29"/>
  <sheetViews>
    <sheetView tabSelected="1" topLeftCell="A4" zoomScale="130" zoomScaleNormal="130" workbookViewId="0">
      <selection activeCell="F7" sqref="F7"/>
    </sheetView>
  </sheetViews>
  <sheetFormatPr baseColWidth="10" defaultColWidth="11" defaultRowHeight="13" x14ac:dyDescent="0.15"/>
  <cols>
    <col min="2" max="2" width="15.33203125" customWidth="1"/>
    <col min="4" max="4" width="16.6640625" customWidth="1"/>
    <col min="14" max="14" width="13" customWidth="1"/>
  </cols>
  <sheetData>
    <row r="1" spans="1:27" x14ac:dyDescent="0.15">
      <c r="A1" s="4" t="s">
        <v>6</v>
      </c>
      <c r="B1" s="4">
        <v>4.4999999999999998E-2</v>
      </c>
      <c r="C1" t="s">
        <v>4</v>
      </c>
      <c r="D1" s="6" t="s">
        <v>39</v>
      </c>
      <c r="E1" t="s">
        <v>5</v>
      </c>
      <c r="F1">
        <f>B1+B5*(B2-B1)</f>
        <v>8.3249999999999991E-2</v>
      </c>
      <c r="G1" s="4" t="s">
        <v>12</v>
      </c>
      <c r="H1" s="4">
        <v>0.79</v>
      </c>
      <c r="J1" t="s">
        <v>4</v>
      </c>
      <c r="K1" s="1">
        <f>H1*F1+H2*F2</f>
        <v>7.3382099999999992E-2</v>
      </c>
      <c r="M1" t="s">
        <v>24</v>
      </c>
      <c r="N1">
        <v>7</v>
      </c>
      <c r="O1" t="s">
        <v>26</v>
      </c>
      <c r="P1">
        <f>1/7</f>
        <v>0.14285714285714285</v>
      </c>
    </row>
    <row r="2" spans="1:27" x14ac:dyDescent="0.15">
      <c r="A2" s="4" t="s">
        <v>7</v>
      </c>
      <c r="B2" s="4">
        <v>0.09</v>
      </c>
      <c r="D2" s="6">
        <f>0.5*(B3-B1)</f>
        <v>4.0000000000000001E-3</v>
      </c>
      <c r="E2" t="s">
        <v>11</v>
      </c>
      <c r="F2">
        <f>(1-B4)*(B1+D2)</f>
        <v>3.6260000000000001E-2</v>
      </c>
      <c r="G2" s="4" t="s">
        <v>13</v>
      </c>
      <c r="H2" s="4">
        <f>1-H1</f>
        <v>0.20999999999999996</v>
      </c>
      <c r="M2" t="s">
        <v>25</v>
      </c>
      <c r="N2">
        <f>MAX(2*(1/N1)/2,0.5/7)</f>
        <v>0.14285714285714285</v>
      </c>
      <c r="O2">
        <f>MAX(2*(1-N2)/7,(1-N2)/7)</f>
        <v>0.24489795918367349</v>
      </c>
      <c r="P2">
        <f>2*(1-N2-O2)/7</f>
        <v>0.1749271137026239</v>
      </c>
      <c r="Q2">
        <f>2*(1-N2-O2-P2)/7</f>
        <v>0.12494793835901707</v>
      </c>
      <c r="R2">
        <f>2*(1-N2-O2-P2-Q2)/7</f>
        <v>8.9248527399297908E-2</v>
      </c>
      <c r="S2">
        <f>2*(1-N2-O2-P2-Q2-R2)/7</f>
        <v>6.3748948142355655E-2</v>
      </c>
    </row>
    <row r="3" spans="1:27" x14ac:dyDescent="0.15">
      <c r="A3" s="5" t="s">
        <v>8</v>
      </c>
      <c r="B3" s="4">
        <v>5.2999999999999999E-2</v>
      </c>
      <c r="L3" t="s">
        <v>27</v>
      </c>
      <c r="M3">
        <v>0.1429</v>
      </c>
      <c r="N3">
        <v>0.24490000000000001</v>
      </c>
      <c r="O3">
        <v>0.1749</v>
      </c>
      <c r="P3">
        <v>0.1249</v>
      </c>
      <c r="Q3">
        <v>8.9300000000000004E-2</v>
      </c>
      <c r="R3">
        <v>8.9200000000000002E-2</v>
      </c>
      <c r="S3">
        <v>8.9300000000000004E-2</v>
      </c>
      <c r="T3">
        <v>4.4600000000000001E-2</v>
      </c>
    </row>
    <row r="4" spans="1:27" x14ac:dyDescent="0.15">
      <c r="A4" s="4" t="s">
        <v>9</v>
      </c>
      <c r="B4" s="4">
        <v>0.26</v>
      </c>
      <c r="C4" s="4" t="s">
        <v>33</v>
      </c>
      <c r="D4" s="5">
        <v>182000000</v>
      </c>
      <c r="L4" t="s">
        <v>29</v>
      </c>
      <c r="N4" s="2">
        <f>D4-R17</f>
        <v>181500000</v>
      </c>
    </row>
    <row r="5" spans="1:27" x14ac:dyDescent="0.15">
      <c r="A5" s="4" t="s">
        <v>10</v>
      </c>
      <c r="B5" s="4">
        <v>0.85</v>
      </c>
      <c r="C5" s="4" t="s">
        <v>15</v>
      </c>
      <c r="D5" s="4"/>
      <c r="E5" s="4">
        <v>400</v>
      </c>
      <c r="F5" s="4" t="s">
        <v>16</v>
      </c>
      <c r="G5" s="4" t="s">
        <v>17</v>
      </c>
      <c r="H5" s="5">
        <v>190000</v>
      </c>
      <c r="I5" s="4" t="s">
        <v>18</v>
      </c>
      <c r="J5" s="5">
        <v>115000</v>
      </c>
      <c r="K5" t="s">
        <v>19</v>
      </c>
      <c r="M5" s="2">
        <f>H5-J5</f>
        <v>75000</v>
      </c>
      <c r="R5">
        <f>1/R2</f>
        <v>11.204666666666666</v>
      </c>
    </row>
    <row r="6" spans="1:27" x14ac:dyDescent="0.15">
      <c r="E6" s="4" t="s">
        <v>20</v>
      </c>
      <c r="F6" s="4">
        <v>-7.0000000000000001E-3</v>
      </c>
    </row>
    <row r="7" spans="1:27" x14ac:dyDescent="0.15">
      <c r="A7" t="s">
        <v>2</v>
      </c>
    </row>
    <row r="8" spans="1:27" x14ac:dyDescent="0.15">
      <c r="A8" t="s">
        <v>3</v>
      </c>
      <c r="B8" t="s">
        <v>47</v>
      </c>
      <c r="C8">
        <v>0</v>
      </c>
      <c r="D8">
        <v>1</v>
      </c>
      <c r="E8">
        <v>2</v>
      </c>
      <c r="F8">
        <v>3</v>
      </c>
      <c r="G8">
        <v>4</v>
      </c>
      <c r="H8">
        <v>5</v>
      </c>
      <c r="I8">
        <v>6</v>
      </c>
      <c r="J8">
        <v>7</v>
      </c>
      <c r="K8">
        <v>8</v>
      </c>
      <c r="L8">
        <v>9</v>
      </c>
      <c r="M8">
        <v>10</v>
      </c>
      <c r="N8">
        <v>11</v>
      </c>
      <c r="O8">
        <v>12</v>
      </c>
      <c r="P8">
        <v>13</v>
      </c>
      <c r="Q8">
        <v>14</v>
      </c>
      <c r="R8">
        <v>15</v>
      </c>
    </row>
    <row r="9" spans="1:27" x14ac:dyDescent="0.15">
      <c r="B9" t="s">
        <v>46</v>
      </c>
      <c r="C9">
        <f>EXP(-C8*$K$1)</f>
        <v>1</v>
      </c>
      <c r="D9">
        <f t="shared" ref="D9:R9" si="0">EXP(-D8*$K$1)</f>
        <v>0.92924569740104856</v>
      </c>
      <c r="E9">
        <f t="shared" si="0"/>
        <v>0.86349756613836126</v>
      </c>
      <c r="F9">
        <f t="shared" si="0"/>
        <v>0.8024013980503496</v>
      </c>
      <c r="G9">
        <f t="shared" si="0"/>
        <v>0.74562804672687344</v>
      </c>
      <c r="H9">
        <f t="shared" si="0"/>
        <v>0.6928716542824952</v>
      </c>
      <c r="I9">
        <f t="shared" si="0"/>
        <v>0.64384800359315553</v>
      </c>
      <c r="J9">
        <f t="shared" si="0"/>
        <v>0.59829298711919465</v>
      </c>
      <c r="K9">
        <f t="shared" si="0"/>
        <v>0.55596118406573258</v>
      </c>
      <c r="L9">
        <f t="shared" si="0"/>
        <v>0.51662453821507448</v>
      </c>
      <c r="M9">
        <f t="shared" si="0"/>
        <v>0.48007112930816159</v>
      </c>
      <c r="N9">
        <f t="shared" si="0"/>
        <v>0.44610403135607157</v>
      </c>
      <c r="O9">
        <f t="shared" si="0"/>
        <v>0.41454025173089204</v>
      </c>
      <c r="P9">
        <f t="shared" si="0"/>
        <v>0.38520974532047902</v>
      </c>
      <c r="Q9">
        <f t="shared" si="0"/>
        <v>0.35795449843600885</v>
      </c>
      <c r="R9">
        <f t="shared" si="0"/>
        <v>0.33262767753701156</v>
      </c>
    </row>
    <row r="11" spans="1:27" x14ac:dyDescent="0.15">
      <c r="A11" t="s">
        <v>14</v>
      </c>
      <c r="C11" s="2">
        <f>-0.5*D4</f>
        <v>-91000000</v>
      </c>
      <c r="D11" s="2">
        <f>-0.5*D4</f>
        <v>-91000000</v>
      </c>
    </row>
    <row r="12" spans="1:27" x14ac:dyDescent="0.15">
      <c r="A12" s="4" t="s">
        <v>32</v>
      </c>
      <c r="B12" s="4"/>
      <c r="C12" s="5">
        <f>-42*25000</f>
        <v>-1050000</v>
      </c>
      <c r="D12" s="2"/>
      <c r="R12" s="2">
        <f>-C12</f>
        <v>1050000</v>
      </c>
    </row>
    <row r="13" spans="1:27" x14ac:dyDescent="0.15">
      <c r="A13" s="7" t="s">
        <v>40</v>
      </c>
      <c r="B13" s="4"/>
      <c r="C13" s="5">
        <f>E5</f>
        <v>400</v>
      </c>
      <c r="D13" s="2">
        <f>C13*EXP($F$6)</f>
        <v>397.20977717329401</v>
      </c>
      <c r="E13" s="2">
        <f t="shared" ref="E13:P13" si="1">D13*EXP($F$6)</f>
        <v>394.43901770514475</v>
      </c>
      <c r="F13" s="2">
        <f t="shared" si="1"/>
        <v>391.68758582778383</v>
      </c>
      <c r="G13" s="2">
        <f t="shared" si="1"/>
        <v>388.95534672049877</v>
      </c>
      <c r="H13" s="2">
        <f t="shared" si="1"/>
        <v>386.24216650302662</v>
      </c>
      <c r="I13" s="2">
        <f t="shared" si="1"/>
        <v>383.54791222899388</v>
      </c>
      <c r="J13" s="2">
        <f t="shared" si="1"/>
        <v>380.87245187940198</v>
      </c>
      <c r="K13" s="2">
        <f t="shared" si="1"/>
        <v>378.21565435615855</v>
      </c>
      <c r="L13" s="2">
        <f t="shared" si="1"/>
        <v>375.57738947565332</v>
      </c>
      <c r="M13" s="2">
        <f t="shared" si="1"/>
        <v>372.95752796237929</v>
      </c>
      <c r="N13" s="2">
        <f t="shared" si="1"/>
        <v>370.35594144259812</v>
      </c>
      <c r="O13" s="2">
        <f t="shared" si="1"/>
        <v>367.77250243804986</v>
      </c>
      <c r="P13" s="2">
        <f t="shared" si="1"/>
        <v>365.2070843597063</v>
      </c>
      <c r="Q13" s="2">
        <f t="shared" ref="Q13:R13" si="2">P13*EXP($F$6)</f>
        <v>362.65956150156836</v>
      </c>
      <c r="R13" s="2">
        <f t="shared" si="2"/>
        <v>360.12980903450625</v>
      </c>
    </row>
    <row r="14" spans="1:27" x14ac:dyDescent="0.15">
      <c r="A14" t="s">
        <v>21</v>
      </c>
      <c r="E14" s="2"/>
      <c r="F14" s="2">
        <f>F13*$M$5*(1-$B$4)</f>
        <v>21738661.013442002</v>
      </c>
      <c r="G14" s="2">
        <f t="shared" ref="G14:P14" si="3">G13*$M$5*(1-$B$4)</f>
        <v>21587021.742987681</v>
      </c>
      <c r="H14" s="2">
        <f t="shared" si="3"/>
        <v>21436440.240917977</v>
      </c>
      <c r="I14" s="2">
        <f t="shared" si="3"/>
        <v>21286909.12870916</v>
      </c>
      <c r="J14" s="2">
        <f t="shared" si="3"/>
        <v>21138421.079306811</v>
      </c>
      <c r="K14" s="2">
        <f t="shared" si="3"/>
        <v>20990968.816766802</v>
      </c>
      <c r="L14" s="2">
        <f t="shared" si="3"/>
        <v>20844545.115898758</v>
      </c>
      <c r="M14" s="2">
        <f t="shared" si="3"/>
        <v>20699142.801912051</v>
      </c>
      <c r="N14" s="2">
        <f t="shared" si="3"/>
        <v>20554754.750064194</v>
      </c>
      <c r="O14" s="2">
        <f t="shared" si="3"/>
        <v>20411373.885311767</v>
      </c>
      <c r="P14" s="2">
        <f t="shared" si="3"/>
        <v>20268993.181963701</v>
      </c>
      <c r="Q14" s="2">
        <f t="shared" ref="Q14" si="4">Q13*$M$5*(1-$B$4)</f>
        <v>20127605.663337044</v>
      </c>
      <c r="R14" s="2">
        <f t="shared" ref="R14" si="5">R13*$M$5*(1-$B$4)</f>
        <v>19987204.401415095</v>
      </c>
      <c r="S14" s="2"/>
      <c r="T14" s="2"/>
      <c r="U14" s="2"/>
      <c r="V14" s="2"/>
      <c r="W14" s="2"/>
      <c r="X14" s="2"/>
      <c r="Y14" s="2"/>
      <c r="Z14" s="2"/>
      <c r="AA14" s="2"/>
    </row>
    <row r="15" spans="1:27" x14ac:dyDescent="0.15">
      <c r="A15" s="4" t="s">
        <v>22</v>
      </c>
      <c r="E15" s="5">
        <v>-3000000</v>
      </c>
      <c r="R15" s="2">
        <f>-E15</f>
        <v>3000000</v>
      </c>
    </row>
    <row r="16" spans="1:27" x14ac:dyDescent="0.15">
      <c r="A16" t="s">
        <v>23</v>
      </c>
      <c r="F16" s="2">
        <f>$B$4*M3*$N$4</f>
        <v>6743451</v>
      </c>
      <c r="G16" s="2">
        <f t="shared" ref="G16:M16" si="6">$B$4*N3*$N$4</f>
        <v>11556831.000000002</v>
      </c>
      <c r="H16" s="2">
        <f t="shared" si="6"/>
        <v>8253531</v>
      </c>
      <c r="I16" s="2">
        <f t="shared" si="6"/>
        <v>5894031.0000000009</v>
      </c>
      <c r="J16" s="2">
        <f t="shared" si="6"/>
        <v>4214067</v>
      </c>
      <c r="K16" s="2">
        <f t="shared" si="6"/>
        <v>4209348</v>
      </c>
      <c r="L16" s="2">
        <f t="shared" si="6"/>
        <v>4214067</v>
      </c>
      <c r="M16" s="2">
        <f t="shared" si="6"/>
        <v>2104674</v>
      </c>
      <c r="N16" s="2"/>
      <c r="O16" s="2"/>
      <c r="P16" s="2"/>
    </row>
    <row r="17" spans="1:18" x14ac:dyDescent="0.15">
      <c r="A17" s="4" t="s">
        <v>28</v>
      </c>
      <c r="R17" s="5">
        <v>500000</v>
      </c>
    </row>
    <row r="19" spans="1:18" x14ac:dyDescent="0.15">
      <c r="A19" s="2" t="s">
        <v>30</v>
      </c>
      <c r="B19" s="2"/>
      <c r="C19" s="2">
        <f>C9*(C11+C12+C14+C15+C16+C17)</f>
        <v>-92050000</v>
      </c>
      <c r="D19" s="2">
        <f t="shared" ref="D19:O19" si="7">D9*(D11+D12+D14+D15+D16+D17)</f>
        <v>-84561358.463495418</v>
      </c>
      <c r="E19" s="2">
        <f>E9*(E11+E12+E14+E15+E16+E17)</f>
        <v>-2590492.6984150838</v>
      </c>
      <c r="F19" s="2">
        <f>F9*(F11+F12+F14+F15+F16+F17)</f>
        <v>22854086.499012519</v>
      </c>
      <c r="G19" s="2">
        <f>G9*(G11+G12+G14+G15+G16+G17)</f>
        <v>24712986.181757033</v>
      </c>
      <c r="H19" s="2">
        <f t="shared" si="7"/>
        <v>20571339.489294544</v>
      </c>
      <c r="I19" s="2">
        <f t="shared" si="7"/>
        <v>17500394.037654482</v>
      </c>
      <c r="J19" s="2">
        <f t="shared" si="7"/>
        <v>15168215.823872246</v>
      </c>
      <c r="K19" s="2">
        <f t="shared" si="7"/>
        <v>14010397.976281265</v>
      </c>
      <c r="L19" s="2">
        <f t="shared" si="7"/>
        <v>12945893.912686866</v>
      </c>
      <c r="M19" s="2">
        <f t="shared" si="7"/>
        <v>10947454.084630348</v>
      </c>
      <c r="N19" s="2">
        <f>N9*(N11+N12+N14+N15+N16+N17)</f>
        <v>9169558.9575389978</v>
      </c>
      <c r="O19" s="2">
        <f t="shared" si="7"/>
        <v>8461336.0685904957</v>
      </c>
      <c r="P19" s="2">
        <f>P9*(P11+R12+P14+R15+P16+R17)</f>
        <v>9560518.0427349433</v>
      </c>
      <c r="Q19" s="2">
        <f t="shared" ref="Q19:R19" si="8">Q9*(Q11+S12+Q14+S15+Q16+S17)</f>
        <v>7204766.989937583</v>
      </c>
      <c r="R19" s="2">
        <f t="shared" si="8"/>
        <v>6648297.3805002384</v>
      </c>
    </row>
    <row r="20" spans="1:18" x14ac:dyDescent="0.15">
      <c r="A20" s="1" t="s">
        <v>31</v>
      </c>
      <c r="B20" s="3">
        <f>SUM(C19:R19)</f>
        <v>553394.28258104809</v>
      </c>
    </row>
    <row r="22" spans="1:18" x14ac:dyDescent="0.15">
      <c r="A22" s="5" t="s">
        <v>34</v>
      </c>
      <c r="B22" s="5"/>
      <c r="C22" s="5"/>
      <c r="D22" s="5"/>
      <c r="E22" s="5"/>
      <c r="F22" s="5"/>
      <c r="G22" s="5"/>
      <c r="H22" s="5"/>
      <c r="I22" t="s">
        <v>1</v>
      </c>
    </row>
    <row r="24" spans="1:18" x14ac:dyDescent="0.15">
      <c r="A24" t="s">
        <v>35</v>
      </c>
    </row>
    <row r="25" spans="1:18" x14ac:dyDescent="0.15">
      <c r="A25" t="s">
        <v>36</v>
      </c>
    </row>
    <row r="27" spans="1:18" x14ac:dyDescent="0.15">
      <c r="A27" t="s">
        <v>37</v>
      </c>
    </row>
    <row r="28" spans="1:18" x14ac:dyDescent="0.15">
      <c r="D28" t="s">
        <v>38</v>
      </c>
    </row>
    <row r="29" spans="1:18" x14ac:dyDescent="0.15">
      <c r="D29" t="s">
        <v>0</v>
      </c>
    </row>
  </sheetData>
  <phoneticPr fontId="2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Discussion</vt:lpstr>
      <vt:lpstr>NPV</vt:lpstr>
    </vt:vector>
  </TitlesOfParts>
  <Company>University of Arizona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Microsoft Office User</cp:lastModifiedBy>
  <dcterms:created xsi:type="dcterms:W3CDTF">2018-02-10T18:15:53Z</dcterms:created>
  <dcterms:modified xsi:type="dcterms:W3CDTF">2023-02-09T17:36:41Z</dcterms:modified>
</cp:coreProperties>
</file>