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13_ncr:1_{AD20DCDF-B943-4642-B03B-22B41849001F}" xr6:coauthVersionLast="47" xr6:coauthVersionMax="47" xr10:uidLastSave="{00000000-0000-0000-0000-000000000000}"/>
  <bookViews>
    <workbookView xWindow="0" yWindow="500" windowWidth="27520" windowHeight="11400" xr2:uid="{3F903B59-DFCE-4D51-8ADA-4769E1CBF79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0" i="1" l="1"/>
  <c r="C56" i="1"/>
  <c r="B8" i="1"/>
  <c r="C57" i="1"/>
  <c r="C58" i="1"/>
  <c r="D34" i="1"/>
  <c r="D51" i="1"/>
  <c r="D53" i="1"/>
  <c r="D54" i="1"/>
  <c r="D55" i="1"/>
  <c r="D56" i="1"/>
  <c r="D57" i="1"/>
  <c r="D58" i="1"/>
  <c r="E34" i="1"/>
  <c r="E51" i="1"/>
  <c r="E19" i="1"/>
  <c r="E53" i="1"/>
  <c r="E54" i="1"/>
  <c r="E55" i="1"/>
  <c r="C32" i="1"/>
  <c r="C38" i="1"/>
  <c r="C31" i="1"/>
  <c r="C39" i="1"/>
  <c r="C40" i="1"/>
  <c r="D33" i="1"/>
  <c r="D35" i="1"/>
  <c r="D36" i="1"/>
  <c r="D37" i="1"/>
  <c r="D38" i="1"/>
  <c r="D31" i="1"/>
  <c r="D39" i="1"/>
  <c r="D40" i="1"/>
  <c r="E33" i="1"/>
  <c r="G19" i="1"/>
  <c r="E35" i="1"/>
  <c r="E36" i="1"/>
  <c r="E37" i="1"/>
  <c r="E38" i="1"/>
  <c r="E31" i="1"/>
  <c r="E39" i="1"/>
  <c r="E40" i="1"/>
  <c r="F34" i="1"/>
  <c r="F33" i="1"/>
  <c r="H19" i="1"/>
  <c r="F35" i="1"/>
  <c r="F36" i="1"/>
  <c r="F37" i="1"/>
  <c r="F38" i="1"/>
  <c r="F31" i="1"/>
  <c r="F39" i="1"/>
  <c r="F40" i="1"/>
  <c r="G34" i="1"/>
  <c r="G33" i="1"/>
  <c r="G35" i="1"/>
  <c r="G36" i="1"/>
  <c r="G37" i="1"/>
  <c r="G38" i="1"/>
  <c r="G31" i="1"/>
  <c r="G39" i="1"/>
  <c r="G40" i="1"/>
  <c r="H34" i="1"/>
  <c r="H33" i="1"/>
  <c r="H35" i="1"/>
  <c r="H36" i="1"/>
  <c r="H37" i="1"/>
  <c r="H38" i="1"/>
  <c r="H31" i="1"/>
  <c r="H39" i="1"/>
  <c r="H40" i="1"/>
  <c r="I34" i="1"/>
  <c r="I33" i="1"/>
  <c r="I35" i="1"/>
  <c r="I36" i="1"/>
  <c r="I37" i="1"/>
  <c r="I38" i="1"/>
  <c r="I31" i="1"/>
  <c r="I39" i="1"/>
  <c r="I40" i="1"/>
  <c r="J34" i="1"/>
  <c r="J33" i="1"/>
  <c r="J35" i="1"/>
  <c r="J36" i="1"/>
  <c r="J37" i="1"/>
  <c r="J38" i="1"/>
  <c r="J31" i="1"/>
  <c r="J39" i="1"/>
  <c r="J40" i="1"/>
  <c r="K34" i="1"/>
  <c r="K33" i="1"/>
  <c r="K35" i="1"/>
  <c r="K36" i="1"/>
  <c r="K37" i="1"/>
  <c r="K38" i="1"/>
  <c r="K31" i="1"/>
  <c r="K39" i="1"/>
  <c r="K40" i="1"/>
  <c r="C41" i="1"/>
  <c r="E52" i="1"/>
  <c r="E56" i="1"/>
  <c r="E57" i="1"/>
  <c r="E58" i="1"/>
  <c r="F51" i="1"/>
  <c r="F54" i="1"/>
  <c r="F55" i="1"/>
  <c r="F56" i="1"/>
  <c r="F57" i="1"/>
  <c r="F58" i="1"/>
  <c r="G51" i="1"/>
  <c r="G54" i="1"/>
  <c r="G55" i="1"/>
  <c r="G56" i="1"/>
  <c r="G57" i="1"/>
  <c r="G58" i="1"/>
  <c r="H51" i="1"/>
  <c r="H54" i="1"/>
  <c r="H55" i="1"/>
  <c r="H56" i="1"/>
  <c r="H57" i="1"/>
  <c r="H58" i="1"/>
  <c r="I51" i="1"/>
  <c r="I54" i="1"/>
  <c r="I55" i="1"/>
  <c r="I56" i="1"/>
  <c r="I57" i="1"/>
  <c r="I58" i="1"/>
  <c r="C59" i="1"/>
  <c r="D17" i="1"/>
  <c r="D20" i="1"/>
  <c r="D21" i="1"/>
  <c r="D22" i="1"/>
  <c r="F9" i="1"/>
  <c r="F10" i="1"/>
  <c r="F11" i="1"/>
  <c r="H4" i="1"/>
  <c r="H5" i="1"/>
  <c r="H6" i="1"/>
  <c r="H7" i="1"/>
  <c r="B12" i="1"/>
  <c r="D23" i="1"/>
  <c r="D24" i="1"/>
  <c r="E17" i="1"/>
  <c r="E20" i="1"/>
  <c r="E21" i="1"/>
  <c r="E22" i="1"/>
  <c r="E23" i="1"/>
  <c r="E24" i="1"/>
  <c r="I13" i="1"/>
  <c r="I18" i="1"/>
  <c r="J18" i="1"/>
  <c r="K18" i="1"/>
  <c r="L18" i="1"/>
  <c r="M18" i="1"/>
  <c r="I19" i="1"/>
  <c r="J19" i="1"/>
  <c r="K19" i="1"/>
  <c r="L19" i="1"/>
  <c r="M19" i="1"/>
  <c r="M17" i="1"/>
  <c r="M20" i="1"/>
  <c r="M21" i="1"/>
  <c r="M22" i="1"/>
  <c r="M23" i="1"/>
  <c r="M24" i="1"/>
  <c r="C22" i="1"/>
  <c r="C23" i="1"/>
  <c r="C24" i="1"/>
  <c r="F23" i="1"/>
  <c r="G23" i="1"/>
  <c r="H23" i="1"/>
  <c r="I23" i="1"/>
  <c r="J23" i="1"/>
  <c r="K23" i="1"/>
  <c r="L23" i="1"/>
  <c r="F17" i="1"/>
  <c r="F20" i="1"/>
  <c r="F21" i="1"/>
  <c r="F22" i="1"/>
  <c r="F24" i="1"/>
  <c r="G17" i="1"/>
  <c r="G20" i="1"/>
  <c r="G21" i="1"/>
  <c r="G22" i="1"/>
  <c r="G24" i="1"/>
  <c r="H17" i="1"/>
  <c r="H20" i="1"/>
  <c r="H21" i="1"/>
  <c r="H22" i="1"/>
  <c r="H24" i="1"/>
  <c r="I17" i="1"/>
  <c r="I20" i="1"/>
  <c r="I21" i="1"/>
  <c r="I22" i="1"/>
  <c r="I24" i="1"/>
  <c r="J17" i="1"/>
  <c r="J20" i="1"/>
  <c r="J21" i="1"/>
  <c r="J22" i="1"/>
  <c r="J24" i="1"/>
  <c r="K17" i="1"/>
  <c r="K20" i="1"/>
  <c r="K21" i="1"/>
  <c r="K22" i="1"/>
  <c r="K24" i="1"/>
  <c r="L17" i="1"/>
  <c r="L20" i="1"/>
  <c r="L21" i="1"/>
  <c r="L22" i="1"/>
  <c r="L24" i="1"/>
  <c r="D43" i="1"/>
  <c r="D44" i="1"/>
  <c r="D45" i="1"/>
  <c r="D46" i="1"/>
  <c r="B25" i="1"/>
</calcChain>
</file>

<file path=xl/sharedStrings.xml><?xml version="1.0" encoding="utf-8"?>
<sst xmlns="http://schemas.openxmlformats.org/spreadsheetml/2006/main" count="69" uniqueCount="52">
  <si>
    <t>7-year MACRS:</t>
  </si>
  <si>
    <t>5-year:</t>
  </si>
  <si>
    <t>wacc computation:</t>
  </si>
  <si>
    <t>Equity:</t>
  </si>
  <si>
    <t>billion market cap</t>
  </si>
  <si>
    <t>beta:</t>
  </si>
  <si>
    <t>Rf:</t>
  </si>
  <si>
    <t>E(Rm)-Rf:</t>
  </si>
  <si>
    <t>CAPM ke:</t>
  </si>
  <si>
    <t>Debt:</t>
  </si>
  <si>
    <t>Credit Spread:</t>
  </si>
  <si>
    <t>Hazard rate:</t>
  </si>
  <si>
    <t>Risk Premium:</t>
  </si>
  <si>
    <t>Pre-tax kd:</t>
  </si>
  <si>
    <t>kd:</t>
  </si>
  <si>
    <t>tax rate:</t>
  </si>
  <si>
    <t>billion on Bal Sheet</t>
  </si>
  <si>
    <t>Enterprise Value:</t>
  </si>
  <si>
    <t xml:space="preserve"> billion</t>
  </si>
  <si>
    <t>w(e ):</t>
  </si>
  <si>
    <t>w(d):</t>
  </si>
  <si>
    <t>wacc:</t>
  </si>
  <si>
    <t>Traditional Approach:</t>
  </si>
  <si>
    <t>TimeLine (Yrs):</t>
  </si>
  <si>
    <t>Capital Outlay:</t>
  </si>
  <si>
    <t>Deprec Expense:</t>
  </si>
  <si>
    <t>Expected Revenues:</t>
  </si>
  <si>
    <t>Expected Oper Costs:</t>
  </si>
  <si>
    <t>Taxable Income:</t>
  </si>
  <si>
    <t>Tax:</t>
  </si>
  <si>
    <t>Free Cash Flow:</t>
  </si>
  <si>
    <t>Alternative Presentation:</t>
  </si>
  <si>
    <t>Deprec Tax Shield:</t>
  </si>
  <si>
    <t>Tax shield from oper loss:</t>
  </si>
  <si>
    <t>Cash costs of business:</t>
  </si>
  <si>
    <t>Success Probs:</t>
  </si>
  <si>
    <t>df (@wacc):</t>
  </si>
  <si>
    <t>PV(E(CF)):</t>
  </si>
  <si>
    <t>NPV:</t>
  </si>
  <si>
    <t>To assess economic value, we have to use a recursive solution approach: Start at the last decision point, and work backwards in time.</t>
  </si>
  <si>
    <t>Last decision point is at T = 2 (2 years from now).</t>
  </si>
  <si>
    <t>Time (Yrs):</t>
  </si>
  <si>
    <t>Deprec Exp:</t>
  </si>
  <si>
    <t>Exp Revs:</t>
  </si>
  <si>
    <t>Exp Op Exps:</t>
  </si>
  <si>
    <r>
      <t xml:space="preserve">Suppose we did invest at time 0, and we learn that it looks promising </t>
    </r>
    <r>
      <rPr>
        <b/>
        <sz val="11"/>
        <color theme="1"/>
        <rFont val="Calibri"/>
        <family val="2"/>
        <scheme val="minor"/>
      </rPr>
      <t>at T = 2.</t>
    </r>
  </si>
  <si>
    <t>df (@ke):</t>
  </si>
  <si>
    <t>We now incorporate this value into our Date 0 decision:</t>
  </si>
  <si>
    <t>Expected Value:</t>
  </si>
  <si>
    <t>Note that the value of the project at Year 2--conditional on it being promising at that point -- is in Cell C41.</t>
  </si>
  <si>
    <t>From the perspective of Time 0, there is a 30% chance of getting that.  So 30% * C41 is in Cell E52.</t>
  </si>
  <si>
    <t xml:space="preserve">  This is the value of the project that includes the value of the abandonment option that it embeds.  70% of the time we will not incur the outflows and corresponding expenses on Year 2 and afterwards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</si>
</sst>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sz val="18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7">
    <xf numFmtId="0" fontId="0" fillId="0" borderId="0" xfId="0"/>
    <xf numFmtId="0" fontId="3" fillId="0" borderId="0" xfId="2"/>
    <xf numFmtId="0" fontId="2" fillId="0" borderId="0" xfId="0" applyFont="1"/>
    <xf numFmtId="3" fontId="0" fillId="0" borderId="0" xfId="1" applyNumberFormat="1" applyFont="1"/>
    <xf numFmtId="3" fontId="0" fillId="0" borderId="0" xfId="0" applyNumberFormat="1"/>
    <xf numFmtId="3" fontId="2" fillId="0" borderId="0" xfId="0" applyNumberFormat="1" applyFont="1"/>
    <xf numFmtId="0" fontId="4" fillId="0" borderId="0" xfId="0" applyFont="1"/>
  </cellXfs>
  <cellStyles count="3">
    <cellStyle name="Comma" xfId="1" builtinId="3"/>
    <cellStyle name="Normal" xfId="0" builtinId="0"/>
    <cellStyle name="Normal 2" xfId="2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617C2-CC3A-4C00-BD96-E45B65A24CCB}">
  <dimension ref="A1:W62"/>
  <sheetViews>
    <sheetView tabSelected="1" topLeftCell="A50" zoomScale="120" zoomScaleNormal="120" workbookViewId="0">
      <selection activeCell="D59" sqref="D59"/>
    </sheetView>
  </sheetViews>
  <sheetFormatPr baseColWidth="10" defaultColWidth="8.83203125" defaultRowHeight="15" x14ac:dyDescent="0.2"/>
  <cols>
    <col min="2" max="2" width="12.83203125" customWidth="1"/>
    <col min="3" max="3" width="15.33203125" bestFit="1" customWidth="1"/>
    <col min="4" max="4" width="12.5" customWidth="1"/>
    <col min="5" max="5" width="11.5" customWidth="1"/>
    <col min="6" max="6" width="12.6640625" customWidth="1"/>
    <col min="7" max="7" width="12.33203125" customWidth="1"/>
    <col min="8" max="8" width="11.6640625" customWidth="1"/>
    <col min="9" max="9" width="12.5" customWidth="1"/>
    <col min="10" max="10" width="11.5" customWidth="1"/>
    <col min="11" max="11" width="11.6640625" customWidth="1"/>
    <col min="12" max="12" width="11.1640625" customWidth="1"/>
    <col min="13" max="13" width="11.83203125" customWidth="1"/>
  </cols>
  <sheetData>
    <row r="1" spans="1:23" x14ac:dyDescent="0.2">
      <c r="A1" t="s">
        <v>2</v>
      </c>
      <c r="M1" t="s">
        <v>0</v>
      </c>
      <c r="O1" s="1"/>
      <c r="P1" s="1">
        <v>0.1429</v>
      </c>
      <c r="Q1" s="1">
        <v>0.24490000000000001</v>
      </c>
      <c r="R1" s="1">
        <v>0.1749</v>
      </c>
      <c r="S1" s="1">
        <v>0.1249</v>
      </c>
      <c r="T1" s="1">
        <v>8.9300000000000004E-2</v>
      </c>
      <c r="U1" s="1">
        <v>8.9200000000000002E-2</v>
      </c>
      <c r="V1" s="1">
        <v>8.9300000000000004E-2</v>
      </c>
      <c r="W1" s="1">
        <v>4.4600000000000001E-2</v>
      </c>
    </row>
    <row r="2" spans="1:23" x14ac:dyDescent="0.2">
      <c r="A2" t="s">
        <v>3</v>
      </c>
      <c r="F2" t="s">
        <v>9</v>
      </c>
      <c r="H2">
        <v>28</v>
      </c>
      <c r="I2" t="s">
        <v>16</v>
      </c>
      <c r="M2" t="s">
        <v>1</v>
      </c>
      <c r="P2">
        <v>0.2</v>
      </c>
      <c r="Q2">
        <v>0.32</v>
      </c>
      <c r="R2">
        <v>0.192</v>
      </c>
      <c r="S2">
        <v>0.1152</v>
      </c>
      <c r="T2">
        <v>0.1152</v>
      </c>
      <c r="U2">
        <v>5.7599999999999998E-2</v>
      </c>
    </row>
    <row r="3" spans="1:23" x14ac:dyDescent="0.2">
      <c r="B3">
        <v>92</v>
      </c>
      <c r="C3" t="s">
        <v>4</v>
      </c>
      <c r="F3" t="s">
        <v>10</v>
      </c>
      <c r="H3">
        <v>1.0999999999999999E-2</v>
      </c>
      <c r="K3" t="s">
        <v>15</v>
      </c>
      <c r="L3">
        <v>0.2</v>
      </c>
    </row>
    <row r="4" spans="1:23" x14ac:dyDescent="0.2">
      <c r="A4" t="s">
        <v>5</v>
      </c>
      <c r="B4">
        <v>1.1000000000000001</v>
      </c>
      <c r="F4" t="s">
        <v>11</v>
      </c>
      <c r="H4">
        <f>0.5*H3</f>
        <v>5.4999999999999997E-3</v>
      </c>
    </row>
    <row r="5" spans="1:23" x14ac:dyDescent="0.2">
      <c r="A5" t="s">
        <v>6</v>
      </c>
      <c r="B5">
        <v>0.04</v>
      </c>
      <c r="F5" t="s">
        <v>12</v>
      </c>
      <c r="H5">
        <f>H3-H4</f>
        <v>5.4999999999999997E-3</v>
      </c>
    </row>
    <row r="6" spans="1:23" x14ac:dyDescent="0.2">
      <c r="A6" t="s">
        <v>7</v>
      </c>
      <c r="B6">
        <v>0.04</v>
      </c>
      <c r="F6" t="s">
        <v>13</v>
      </c>
      <c r="H6">
        <f>B5+H5</f>
        <v>4.5499999999999999E-2</v>
      </c>
    </row>
    <row r="7" spans="1:23" x14ac:dyDescent="0.2">
      <c r="F7" t="s">
        <v>14</v>
      </c>
      <c r="H7">
        <f>(1-L3)*H6</f>
        <v>3.6400000000000002E-2</v>
      </c>
    </row>
    <row r="8" spans="1:23" x14ac:dyDescent="0.2">
      <c r="A8" t="s">
        <v>8</v>
      </c>
      <c r="B8">
        <f>B5+B4*B6</f>
        <v>8.4000000000000005E-2</v>
      </c>
    </row>
    <row r="9" spans="1:23" x14ac:dyDescent="0.2">
      <c r="D9" t="s">
        <v>17</v>
      </c>
      <c r="F9">
        <f>B3+H2</f>
        <v>120</v>
      </c>
      <c r="G9" t="s">
        <v>18</v>
      </c>
    </row>
    <row r="10" spans="1:23" x14ac:dyDescent="0.2">
      <c r="D10" t="s">
        <v>19</v>
      </c>
      <c r="F10">
        <f>B3/F9</f>
        <v>0.76666666666666672</v>
      </c>
    </row>
    <row r="11" spans="1:23" x14ac:dyDescent="0.2">
      <c r="D11" t="s">
        <v>20</v>
      </c>
      <c r="F11">
        <f>1-F10</f>
        <v>0.23333333333333328</v>
      </c>
    </row>
    <row r="12" spans="1:23" x14ac:dyDescent="0.2">
      <c r="A12" s="2" t="s">
        <v>21</v>
      </c>
      <c r="B12" s="2">
        <f>F10*B8+F11*H7</f>
        <v>7.2893333333333338E-2</v>
      </c>
    </row>
    <row r="13" spans="1:23" x14ac:dyDescent="0.2">
      <c r="B13" t="s">
        <v>35</v>
      </c>
      <c r="E13">
        <v>0.3</v>
      </c>
      <c r="H13">
        <v>0.4</v>
      </c>
      <c r="I13">
        <f>E13*H13</f>
        <v>0.12</v>
      </c>
    </row>
    <row r="14" spans="1:23" x14ac:dyDescent="0.2">
      <c r="A14" t="s">
        <v>22</v>
      </c>
    </row>
    <row r="15" spans="1:23" x14ac:dyDescent="0.2">
      <c r="A15" t="s">
        <v>23</v>
      </c>
      <c r="C15">
        <v>0</v>
      </c>
      <c r="D15">
        <v>1</v>
      </c>
      <c r="E15">
        <v>2</v>
      </c>
      <c r="F15">
        <v>3</v>
      </c>
      <c r="G15">
        <v>4</v>
      </c>
      <c r="H15">
        <v>5</v>
      </c>
      <c r="I15">
        <v>6</v>
      </c>
      <c r="J15">
        <v>7</v>
      </c>
      <c r="K15">
        <v>8</v>
      </c>
      <c r="L15">
        <v>9</v>
      </c>
      <c r="M15">
        <v>10</v>
      </c>
    </row>
    <row r="16" spans="1:23" x14ac:dyDescent="0.2">
      <c r="A16" t="s">
        <v>24</v>
      </c>
      <c r="C16" s="3">
        <v>275000000</v>
      </c>
      <c r="E16" s="3">
        <v>340000000</v>
      </c>
    </row>
    <row r="17" spans="1:14" x14ac:dyDescent="0.2">
      <c r="A17" t="s">
        <v>25</v>
      </c>
      <c r="D17" s="3">
        <f>P2*$C$16</f>
        <v>55000000</v>
      </c>
      <c r="E17" s="3">
        <f>Q2*$C$16</f>
        <v>88000000</v>
      </c>
      <c r="F17" s="3">
        <f>R2*$C$16+$E$16*P1</f>
        <v>101386000</v>
      </c>
      <c r="G17" s="3">
        <f t="shared" ref="G17:M17" si="0">S2*$C$16+$E$16*Q1</f>
        <v>114946000</v>
      </c>
      <c r="H17" s="3">
        <f t="shared" si="0"/>
        <v>91146000</v>
      </c>
      <c r="I17" s="3">
        <f t="shared" si="0"/>
        <v>58306000</v>
      </c>
      <c r="J17" s="3">
        <f t="shared" si="0"/>
        <v>30362000</v>
      </c>
      <c r="K17" s="3">
        <f t="shared" si="0"/>
        <v>30328000</v>
      </c>
      <c r="L17" s="3">
        <f t="shared" si="0"/>
        <v>30362000</v>
      </c>
      <c r="M17" s="3">
        <f t="shared" si="0"/>
        <v>15164000</v>
      </c>
    </row>
    <row r="18" spans="1:14" x14ac:dyDescent="0.2">
      <c r="A18" t="s">
        <v>26</v>
      </c>
      <c r="D18" s="3"/>
      <c r="I18" s="4">
        <f>1250000000*I13</f>
        <v>150000000</v>
      </c>
      <c r="J18" s="4">
        <f>I18</f>
        <v>150000000</v>
      </c>
      <c r="K18" s="4">
        <f t="shared" ref="K18:M18" si="1">J18</f>
        <v>150000000</v>
      </c>
      <c r="L18" s="4">
        <f t="shared" si="1"/>
        <v>150000000</v>
      </c>
      <c r="M18" s="4">
        <f t="shared" si="1"/>
        <v>150000000</v>
      </c>
    </row>
    <row r="19" spans="1:14" x14ac:dyDescent="0.2">
      <c r="A19" t="s">
        <v>27</v>
      </c>
      <c r="D19" s="3">
        <v>16500000</v>
      </c>
      <c r="E19" s="4">
        <f>D19</f>
        <v>16500000</v>
      </c>
      <c r="F19" s="4">
        <v>100000000</v>
      </c>
      <c r="G19" s="4">
        <f>F19</f>
        <v>100000000</v>
      </c>
      <c r="H19" s="4">
        <f>G19</f>
        <v>100000000</v>
      </c>
      <c r="I19" s="4">
        <f>343000000*I13</f>
        <v>41160000</v>
      </c>
      <c r="J19" s="4">
        <f>I19</f>
        <v>41160000</v>
      </c>
      <c r="K19" s="4">
        <f t="shared" ref="K19:M19" si="2">J19</f>
        <v>41160000</v>
      </c>
      <c r="L19" s="4">
        <f t="shared" si="2"/>
        <v>41160000</v>
      </c>
      <c r="M19" s="4">
        <f t="shared" si="2"/>
        <v>41160000</v>
      </c>
    </row>
    <row r="20" spans="1:14" x14ac:dyDescent="0.2">
      <c r="A20" t="s">
        <v>28</v>
      </c>
      <c r="D20" s="4">
        <f>D18-D19-D17</f>
        <v>-71500000</v>
      </c>
      <c r="E20" s="4">
        <f t="shared" ref="E20:M20" si="3">E18-E19-E17</f>
        <v>-104500000</v>
      </c>
      <c r="F20" s="4">
        <f t="shared" si="3"/>
        <v>-201386000</v>
      </c>
      <c r="G20" s="4">
        <f t="shared" si="3"/>
        <v>-214946000</v>
      </c>
      <c r="H20" s="4">
        <f t="shared" si="3"/>
        <v>-191146000</v>
      </c>
      <c r="I20" s="4">
        <f t="shared" si="3"/>
        <v>50534000</v>
      </c>
      <c r="J20" s="4">
        <f t="shared" si="3"/>
        <v>78478000</v>
      </c>
      <c r="K20" s="4">
        <f t="shared" si="3"/>
        <v>78512000</v>
      </c>
      <c r="L20" s="4">
        <f t="shared" si="3"/>
        <v>78478000</v>
      </c>
      <c r="M20" s="4">
        <f t="shared" si="3"/>
        <v>93676000</v>
      </c>
    </row>
    <row r="21" spans="1:14" x14ac:dyDescent="0.2">
      <c r="A21" t="s">
        <v>29</v>
      </c>
      <c r="D21" s="4">
        <f>$L$3*D20</f>
        <v>-14300000</v>
      </c>
      <c r="E21" s="4">
        <f t="shared" ref="E21:M21" si="4">$L$3*E20</f>
        <v>-20900000</v>
      </c>
      <c r="F21" s="4">
        <f t="shared" si="4"/>
        <v>-40277200</v>
      </c>
      <c r="G21" s="4">
        <f t="shared" si="4"/>
        <v>-42989200</v>
      </c>
      <c r="H21" s="4">
        <f t="shared" si="4"/>
        <v>-38229200</v>
      </c>
      <c r="I21" s="4">
        <f t="shared" si="4"/>
        <v>10106800</v>
      </c>
      <c r="J21" s="4">
        <f t="shared" si="4"/>
        <v>15695600</v>
      </c>
      <c r="K21" s="4">
        <f t="shared" si="4"/>
        <v>15702400</v>
      </c>
      <c r="L21" s="4">
        <f t="shared" si="4"/>
        <v>15695600</v>
      </c>
      <c r="M21" s="4">
        <f t="shared" si="4"/>
        <v>18735200</v>
      </c>
    </row>
    <row r="22" spans="1:14" x14ac:dyDescent="0.2">
      <c r="A22" t="s">
        <v>30</v>
      </c>
      <c r="C22" s="4">
        <f>-C16</f>
        <v>-275000000</v>
      </c>
      <c r="D22" s="4">
        <f>D20-D21+D17</f>
        <v>-2200000</v>
      </c>
      <c r="E22" s="4">
        <f>E20-E21+E17-E16</f>
        <v>-335600000</v>
      </c>
      <c r="F22" s="4">
        <f t="shared" ref="F22:L22" si="5">F20-F21+F17</f>
        <v>-59722800</v>
      </c>
      <c r="G22" s="4">
        <f t="shared" si="5"/>
        <v>-57010800</v>
      </c>
      <c r="H22" s="4">
        <f t="shared" si="5"/>
        <v>-61770800</v>
      </c>
      <c r="I22" s="4">
        <f t="shared" si="5"/>
        <v>98733200</v>
      </c>
      <c r="J22" s="4">
        <f t="shared" si="5"/>
        <v>93144400</v>
      </c>
      <c r="K22" s="4">
        <f t="shared" si="5"/>
        <v>93137600</v>
      </c>
      <c r="L22" s="4">
        <f t="shared" si="5"/>
        <v>93144400</v>
      </c>
      <c r="M22" s="4">
        <f>M20-M21+M17</f>
        <v>90104800</v>
      </c>
    </row>
    <row r="23" spans="1:14" x14ac:dyDescent="0.2">
      <c r="A23" t="s">
        <v>36</v>
      </c>
      <c r="C23">
        <f>EXP(-$B$12*C15)</f>
        <v>1</v>
      </c>
      <c r="D23">
        <f t="shared" ref="D23:M23" si="6">EXP(-$B$12*D15)</f>
        <v>0.92969999273624604</v>
      </c>
      <c r="E23">
        <f t="shared" si="6"/>
        <v>0.86434207649377581</v>
      </c>
      <c r="F23">
        <f t="shared" si="6"/>
        <v>0.80357882223789523</v>
      </c>
      <c r="G23">
        <f t="shared" si="6"/>
        <v>0.74708722519757231</v>
      </c>
      <c r="H23">
        <f t="shared" si="6"/>
        <v>0.69456698783952509</v>
      </c>
      <c r="I23">
        <f t="shared" si="6"/>
        <v>0.64573892354924278</v>
      </c>
      <c r="J23">
        <f t="shared" si="6"/>
        <v>0.60034347253324238</v>
      </c>
      <c r="K23">
        <f t="shared" si="6"/>
        <v>0.5581393220534081</v>
      </c>
      <c r="L23">
        <f t="shared" si="6"/>
        <v>0.51890212365886679</v>
      </c>
      <c r="M23">
        <f t="shared" si="6"/>
        <v>0.48242330059647104</v>
      </c>
    </row>
    <row r="24" spans="1:14" x14ac:dyDescent="0.2">
      <c r="A24" t="s">
        <v>37</v>
      </c>
      <c r="C24" s="4">
        <f>C22*C23</f>
        <v>-275000000</v>
      </c>
      <c r="D24" s="4">
        <f t="shared" ref="D24:M24" si="7">D22*D23</f>
        <v>-2045339.9840197412</v>
      </c>
      <c r="E24" s="4">
        <f t="shared" si="7"/>
        <v>-290073200.87131119</v>
      </c>
      <c r="F24" s="4">
        <f t="shared" si="7"/>
        <v>-47991977.284749366</v>
      </c>
      <c r="G24" s="4">
        <f t="shared" si="7"/>
        <v>-42592040.378293753</v>
      </c>
      <c r="H24" s="4">
        <f t="shared" si="7"/>
        <v>-42903958.492437735</v>
      </c>
      <c r="I24" s="4">
        <f t="shared" si="7"/>
        <v>63755870.286572099</v>
      </c>
      <c r="J24" s="4">
        <f t="shared" si="7"/>
        <v>55918632.543025345</v>
      </c>
      <c r="K24" s="4">
        <f t="shared" si="7"/>
        <v>51983756.921681501</v>
      </c>
      <c r="L24" s="4">
        <f t="shared" si="7"/>
        <v>48332826.966930948</v>
      </c>
      <c r="M24" s="4">
        <f t="shared" si="7"/>
        <v>43468655.015584901</v>
      </c>
      <c r="N24" s="4"/>
    </row>
    <row r="25" spans="1:14" x14ac:dyDescent="0.2">
      <c r="A25" s="2" t="s">
        <v>38</v>
      </c>
      <c r="B25" s="5">
        <f>SUM(C24:M24)</f>
        <v>-437146775.277017</v>
      </c>
    </row>
    <row r="28" spans="1:14" x14ac:dyDescent="0.2">
      <c r="A28" t="s">
        <v>39</v>
      </c>
    </row>
    <row r="29" spans="1:14" x14ac:dyDescent="0.2">
      <c r="B29" t="s">
        <v>40</v>
      </c>
    </row>
    <row r="30" spans="1:14" x14ac:dyDescent="0.2">
      <c r="A30" t="s">
        <v>45</v>
      </c>
    </row>
    <row r="31" spans="1:14" x14ac:dyDescent="0.2">
      <c r="B31" t="s">
        <v>41</v>
      </c>
      <c r="C31">
        <f>E15-2</f>
        <v>0</v>
      </c>
      <c r="D31">
        <f t="shared" ref="D31:I31" si="8">F15-2</f>
        <v>1</v>
      </c>
      <c r="E31">
        <f t="shared" si="8"/>
        <v>2</v>
      </c>
      <c r="F31">
        <f t="shared" si="8"/>
        <v>3</v>
      </c>
      <c r="G31">
        <f t="shared" si="8"/>
        <v>4</v>
      </c>
      <c r="H31">
        <f t="shared" si="8"/>
        <v>5</v>
      </c>
      <c r="I31">
        <f t="shared" si="8"/>
        <v>6</v>
      </c>
      <c r="J31">
        <f>L15-2</f>
        <v>7</v>
      </c>
      <c r="K31">
        <f t="shared" ref="K31" si="9">M15-2</f>
        <v>8</v>
      </c>
    </row>
    <row r="32" spans="1:14" x14ac:dyDescent="0.2">
      <c r="B32" t="s">
        <v>24</v>
      </c>
      <c r="C32" s="4">
        <f>E16</f>
        <v>340000000</v>
      </c>
    </row>
    <row r="33" spans="1:12" x14ac:dyDescent="0.2">
      <c r="B33" t="s">
        <v>42</v>
      </c>
      <c r="D33" s="4">
        <f>$C$32*P1</f>
        <v>48586000</v>
      </c>
      <c r="E33" s="4">
        <f t="shared" ref="E33:K33" si="10">$C$32*Q1</f>
        <v>83266000</v>
      </c>
      <c r="F33" s="4">
        <f t="shared" si="10"/>
        <v>59466000</v>
      </c>
      <c r="G33" s="4">
        <f t="shared" si="10"/>
        <v>42466000</v>
      </c>
      <c r="H33" s="4">
        <f t="shared" si="10"/>
        <v>30362000</v>
      </c>
      <c r="I33" s="4">
        <f t="shared" si="10"/>
        <v>30328000</v>
      </c>
      <c r="J33" s="4">
        <f t="shared" si="10"/>
        <v>30362000</v>
      </c>
      <c r="K33" s="4">
        <f t="shared" si="10"/>
        <v>15164000</v>
      </c>
      <c r="L33" s="4"/>
    </row>
    <row r="34" spans="1:12" x14ac:dyDescent="0.2">
      <c r="B34" t="s">
        <v>43</v>
      </c>
      <c r="D34">
        <f>F18</f>
        <v>0</v>
      </c>
      <c r="E34">
        <f t="shared" ref="E34:F34" si="11">G18</f>
        <v>0</v>
      </c>
      <c r="F34">
        <f t="shared" si="11"/>
        <v>0</v>
      </c>
      <c r="G34" s="4">
        <f>1250000000*H13</f>
        <v>500000000</v>
      </c>
      <c r="H34" s="4">
        <f>G34</f>
        <v>500000000</v>
      </c>
      <c r="I34" s="4">
        <f t="shared" ref="I34:K34" si="12">H34</f>
        <v>500000000</v>
      </c>
      <c r="J34" s="4">
        <f t="shared" si="12"/>
        <v>500000000</v>
      </c>
      <c r="K34" s="4">
        <f t="shared" si="12"/>
        <v>500000000</v>
      </c>
    </row>
    <row r="35" spans="1:12" x14ac:dyDescent="0.2">
      <c r="B35" t="s">
        <v>44</v>
      </c>
      <c r="C35" s="4"/>
      <c r="D35" s="4">
        <f>F19</f>
        <v>100000000</v>
      </c>
      <c r="E35" s="4">
        <f t="shared" ref="E35:F35" si="13">G19</f>
        <v>100000000</v>
      </c>
      <c r="F35" s="4">
        <f t="shared" si="13"/>
        <v>100000000</v>
      </c>
      <c r="G35" s="4">
        <f>H13*343000000</f>
        <v>137200000</v>
      </c>
      <c r="H35" s="4">
        <f>G35</f>
        <v>137200000</v>
      </c>
      <c r="I35" s="4">
        <f t="shared" ref="I35:K35" si="14">H35</f>
        <v>137200000</v>
      </c>
      <c r="J35" s="4">
        <f t="shared" si="14"/>
        <v>137200000</v>
      </c>
      <c r="K35" s="4">
        <f t="shared" si="14"/>
        <v>137200000</v>
      </c>
      <c r="L35" s="4"/>
    </row>
    <row r="36" spans="1:12" x14ac:dyDescent="0.2">
      <c r="B36" t="s">
        <v>28</v>
      </c>
      <c r="D36" s="4">
        <f>D34-D33-D35</f>
        <v>-148586000</v>
      </c>
      <c r="E36" s="4">
        <f t="shared" ref="E36:K36" si="15">E34-E33-E35</f>
        <v>-183266000</v>
      </c>
      <c r="F36" s="4">
        <f t="shared" si="15"/>
        <v>-159466000</v>
      </c>
      <c r="G36" s="4">
        <f t="shared" si="15"/>
        <v>320334000</v>
      </c>
      <c r="H36" s="4">
        <f t="shared" si="15"/>
        <v>332438000</v>
      </c>
      <c r="I36" s="4">
        <f t="shared" si="15"/>
        <v>332472000</v>
      </c>
      <c r="J36" s="4">
        <f t="shared" si="15"/>
        <v>332438000</v>
      </c>
      <c r="K36" s="4">
        <f t="shared" si="15"/>
        <v>347636000</v>
      </c>
      <c r="L36" s="4"/>
    </row>
    <row r="37" spans="1:12" x14ac:dyDescent="0.2">
      <c r="B37" t="s">
        <v>29</v>
      </c>
      <c r="D37" s="4">
        <f>D36*$L$3</f>
        <v>-29717200</v>
      </c>
      <c r="E37" s="4">
        <f t="shared" ref="E37:K37" si="16">E36*$L$3</f>
        <v>-36653200</v>
      </c>
      <c r="F37" s="4">
        <f t="shared" si="16"/>
        <v>-31893200</v>
      </c>
      <c r="G37" s="4">
        <f t="shared" si="16"/>
        <v>64066800</v>
      </c>
      <c r="H37" s="4">
        <f t="shared" si="16"/>
        <v>66487600</v>
      </c>
      <c r="I37" s="4">
        <f t="shared" si="16"/>
        <v>66494400</v>
      </c>
      <c r="J37" s="4">
        <f t="shared" si="16"/>
        <v>66487600</v>
      </c>
      <c r="K37" s="4">
        <f t="shared" si="16"/>
        <v>69527200</v>
      </c>
      <c r="L37" s="4"/>
    </row>
    <row r="38" spans="1:12" x14ac:dyDescent="0.2">
      <c r="B38" t="s">
        <v>30</v>
      </c>
      <c r="C38" s="4">
        <f>-C32</f>
        <v>-340000000</v>
      </c>
      <c r="D38" s="4">
        <f>D36-D37</f>
        <v>-118868800</v>
      </c>
      <c r="E38" s="4">
        <f t="shared" ref="E38:K38" si="17">E36-E37</f>
        <v>-146612800</v>
      </c>
      <c r="F38" s="4">
        <f t="shared" si="17"/>
        <v>-127572800</v>
      </c>
      <c r="G38" s="4">
        <f t="shared" si="17"/>
        <v>256267200</v>
      </c>
      <c r="H38" s="4">
        <f t="shared" si="17"/>
        <v>265950400</v>
      </c>
      <c r="I38" s="4">
        <f t="shared" si="17"/>
        <v>265977600</v>
      </c>
      <c r="J38" s="4">
        <f t="shared" si="17"/>
        <v>265950400</v>
      </c>
      <c r="K38" s="4">
        <f t="shared" si="17"/>
        <v>278108800</v>
      </c>
      <c r="L38" s="4"/>
    </row>
    <row r="39" spans="1:12" x14ac:dyDescent="0.2">
      <c r="B39" t="s">
        <v>46</v>
      </c>
      <c r="C39">
        <f>EXP(-$B$8*C31)</f>
        <v>1</v>
      </c>
      <c r="D39">
        <f>EXP(-$B$8*D31)</f>
        <v>0.91943125609512466</v>
      </c>
      <c r="E39">
        <f t="shared" ref="E39:K39" si="18">EXP(-$B$8*E31)</f>
        <v>0.84535383468465874</v>
      </c>
      <c r="F39">
        <f t="shared" si="18"/>
        <v>0.77724473806894612</v>
      </c>
      <c r="G39">
        <f t="shared" si="18"/>
        <v>0.71462310581605726</v>
      </c>
      <c r="H39">
        <f t="shared" si="18"/>
        <v>0.65704681981505675</v>
      </c>
      <c r="I39">
        <f t="shared" si="18"/>
        <v>0.60410938285586468</v>
      </c>
      <c r="J39">
        <f t="shared" si="18"/>
        <v>0.55543704869801824</v>
      </c>
      <c r="K39">
        <f t="shared" si="18"/>
        <v>0.51068618336618787</v>
      </c>
    </row>
    <row r="40" spans="1:12" x14ac:dyDescent="0.2">
      <c r="B40" t="s">
        <v>37</v>
      </c>
      <c r="C40" s="4">
        <f>C38*C39</f>
        <v>-340000000</v>
      </c>
      <c r="D40" s="4">
        <f>D38*D39</f>
        <v>-109291690.09452015</v>
      </c>
      <c r="E40" s="4">
        <f t="shared" ref="E40:K40" si="19">E38*E39</f>
        <v>-123939692.69385494</v>
      </c>
      <c r="F40" s="4">
        <f t="shared" si="19"/>
        <v>-99155287.520722046</v>
      </c>
      <c r="G40" s="4">
        <f t="shared" si="19"/>
        <v>183134462.38278469</v>
      </c>
      <c r="H40" s="4">
        <f t="shared" si="19"/>
        <v>174741864.54854226</v>
      </c>
      <c r="I40" s="4">
        <f t="shared" si="19"/>
        <v>160679563.78948402</v>
      </c>
      <c r="J40" s="4">
        <f t="shared" si="19"/>
        <v>147718705.27605742</v>
      </c>
      <c r="K40" s="4">
        <f t="shared" si="19"/>
        <v>142026321.63255048</v>
      </c>
      <c r="L40" s="4"/>
    </row>
    <row r="41" spans="1:12" x14ac:dyDescent="0.2">
      <c r="B41" s="2" t="s">
        <v>38</v>
      </c>
      <c r="C41" s="5">
        <f>SUM(C40:K40)</f>
        <v>135914247.32032174</v>
      </c>
    </row>
    <row r="42" spans="1:12" x14ac:dyDescent="0.2">
      <c r="A42" t="s">
        <v>31</v>
      </c>
    </row>
    <row r="43" spans="1:12" x14ac:dyDescent="0.2">
      <c r="A43" t="s">
        <v>32</v>
      </c>
      <c r="D43" s="3">
        <f>L3*C16*P2</f>
        <v>11000000</v>
      </c>
    </row>
    <row r="44" spans="1:12" x14ac:dyDescent="0.2">
      <c r="A44" t="s">
        <v>33</v>
      </c>
      <c r="D44" s="3">
        <f>-L3*(D18-D19)</f>
        <v>3300000</v>
      </c>
    </row>
    <row r="45" spans="1:12" x14ac:dyDescent="0.2">
      <c r="A45" t="s">
        <v>34</v>
      </c>
      <c r="D45" s="4">
        <f>D19</f>
        <v>16500000</v>
      </c>
    </row>
    <row r="46" spans="1:12" x14ac:dyDescent="0.2">
      <c r="A46" t="s">
        <v>30</v>
      </c>
      <c r="D46" s="4">
        <f>D43+D44-D45</f>
        <v>-2200000</v>
      </c>
    </row>
    <row r="48" spans="1:12" x14ac:dyDescent="0.2">
      <c r="A48" t="s">
        <v>47</v>
      </c>
    </row>
    <row r="49" spans="1:9" x14ac:dyDescent="0.2">
      <c r="A49" t="s">
        <v>23</v>
      </c>
      <c r="C49">
        <v>0</v>
      </c>
      <c r="D49">
        <v>1</v>
      </c>
      <c r="E49">
        <v>2</v>
      </c>
      <c r="F49">
        <v>3</v>
      </c>
      <c r="G49">
        <v>4</v>
      </c>
      <c r="H49">
        <v>5</v>
      </c>
      <c r="I49">
        <v>6</v>
      </c>
    </row>
    <row r="50" spans="1:9" x14ac:dyDescent="0.2">
      <c r="A50" t="s">
        <v>24</v>
      </c>
      <c r="C50" s="4">
        <f>C16</f>
        <v>275000000</v>
      </c>
    </row>
    <row r="51" spans="1:9" x14ac:dyDescent="0.2">
      <c r="A51" t="s">
        <v>25</v>
      </c>
      <c r="D51" s="4">
        <f>$C$50*P2</f>
        <v>55000000</v>
      </c>
      <c r="E51" s="4">
        <f t="shared" ref="E51:I51" si="20">$C$50*Q2</f>
        <v>88000000</v>
      </c>
      <c r="F51" s="4">
        <f t="shared" si="20"/>
        <v>52800000</v>
      </c>
      <c r="G51" s="4">
        <f t="shared" si="20"/>
        <v>31680000</v>
      </c>
      <c r="H51" s="4">
        <f t="shared" si="20"/>
        <v>31680000</v>
      </c>
      <c r="I51" s="4">
        <f t="shared" si="20"/>
        <v>15840000</v>
      </c>
    </row>
    <row r="52" spans="1:9" x14ac:dyDescent="0.2">
      <c r="A52" s="2" t="s">
        <v>48</v>
      </c>
      <c r="B52" s="2"/>
      <c r="C52" s="2"/>
      <c r="D52" s="2"/>
      <c r="E52" s="5">
        <f>E13*C41</f>
        <v>40774274.196096517</v>
      </c>
    </row>
    <row r="53" spans="1:9" x14ac:dyDescent="0.2">
      <c r="A53" t="s">
        <v>27</v>
      </c>
      <c r="D53" s="4">
        <f>D19</f>
        <v>16500000</v>
      </c>
      <c r="E53" s="4">
        <f>E19</f>
        <v>16500000</v>
      </c>
    </row>
    <row r="54" spans="1:9" x14ac:dyDescent="0.2">
      <c r="A54" t="s">
        <v>28</v>
      </c>
      <c r="D54" s="4">
        <f>D34-D51-D53</f>
        <v>-71500000</v>
      </c>
      <c r="E54" s="4">
        <f>E34-E51-E53</f>
        <v>-104500000</v>
      </c>
      <c r="F54" s="4">
        <f t="shared" ref="F54" si="21">F34-F51-F53</f>
        <v>-52800000</v>
      </c>
      <c r="G54" s="4">
        <f>-G51</f>
        <v>-31680000</v>
      </c>
      <c r="H54" s="4">
        <f t="shared" ref="H54:I54" si="22">-H51</f>
        <v>-31680000</v>
      </c>
      <c r="I54" s="4">
        <f t="shared" si="22"/>
        <v>-15840000</v>
      </c>
    </row>
    <row r="55" spans="1:9" x14ac:dyDescent="0.2">
      <c r="A55" t="s">
        <v>29</v>
      </c>
      <c r="D55" s="4">
        <f>D54*$L$3</f>
        <v>-14300000</v>
      </c>
      <c r="E55" s="4">
        <f>E54*$L$3</f>
        <v>-20900000</v>
      </c>
      <c r="F55" s="4">
        <f>F54*$L$3</f>
        <v>-10560000</v>
      </c>
      <c r="G55" s="4">
        <f t="shared" ref="G55:I55" si="23">G54*$L$3</f>
        <v>-6336000</v>
      </c>
      <c r="H55" s="4">
        <f t="shared" si="23"/>
        <v>-6336000</v>
      </c>
      <c r="I55" s="4">
        <f t="shared" si="23"/>
        <v>-3168000</v>
      </c>
    </row>
    <row r="56" spans="1:9" x14ac:dyDescent="0.2">
      <c r="A56" t="s">
        <v>30</v>
      </c>
      <c r="C56" s="4">
        <f>-C50</f>
        <v>-275000000</v>
      </c>
      <c r="D56" s="4">
        <f>D54-D55+D51</f>
        <v>-2200000</v>
      </c>
      <c r="E56" s="4">
        <f>E54-E55+E51+E52</f>
        <v>45174274.196096517</v>
      </c>
      <c r="F56" s="4">
        <f>F51+F54-F55</f>
        <v>10560000</v>
      </c>
      <c r="G56" s="4">
        <f t="shared" ref="G56:I56" si="24">G51+G54-G55</f>
        <v>6336000</v>
      </c>
      <c r="H56" s="4">
        <f t="shared" si="24"/>
        <v>6336000</v>
      </c>
      <c r="I56" s="4">
        <f t="shared" si="24"/>
        <v>3168000</v>
      </c>
    </row>
    <row r="57" spans="1:9" x14ac:dyDescent="0.2">
      <c r="A57" t="s">
        <v>36</v>
      </c>
      <c r="C57">
        <f>EXP(C49*-$B$8)</f>
        <v>1</v>
      </c>
      <c r="D57">
        <f t="shared" ref="D57:I57" si="25">EXP(D49*-$B$8)</f>
        <v>0.91943125609512466</v>
      </c>
      <c r="E57">
        <f t="shared" si="25"/>
        <v>0.84535383468465874</v>
      </c>
      <c r="F57">
        <f t="shared" si="25"/>
        <v>0.77724473806894612</v>
      </c>
      <c r="G57">
        <f t="shared" si="25"/>
        <v>0.71462310581605726</v>
      </c>
      <c r="H57">
        <f t="shared" si="25"/>
        <v>0.65704681981505675</v>
      </c>
      <c r="I57">
        <f t="shared" si="25"/>
        <v>0.60410938285586468</v>
      </c>
    </row>
    <row r="58" spans="1:9" x14ac:dyDescent="0.2">
      <c r="A58" t="s">
        <v>37</v>
      </c>
      <c r="C58" s="4">
        <f>C56*C57</f>
        <v>-275000000</v>
      </c>
      <c r="D58" s="4">
        <f t="shared" ref="D58:I58" si="26">D56*D57</f>
        <v>-2022748.7634092742</v>
      </c>
      <c r="E58" s="4">
        <f t="shared" si="26"/>
        <v>38188245.920766421</v>
      </c>
      <c r="F58" s="4">
        <f t="shared" si="26"/>
        <v>8207704.4340080712</v>
      </c>
      <c r="G58" s="4">
        <f t="shared" si="26"/>
        <v>4527851.9984505391</v>
      </c>
      <c r="H58" s="4">
        <f t="shared" si="26"/>
        <v>4163048.6503481995</v>
      </c>
      <c r="I58" s="4">
        <f t="shared" si="26"/>
        <v>1913818.5248873793</v>
      </c>
    </row>
    <row r="59" spans="1:9" ht="24" x14ac:dyDescent="0.3">
      <c r="A59" s="2" t="s">
        <v>38</v>
      </c>
      <c r="C59" s="5">
        <f>SUM(C58:I58)</f>
        <v>-220022079.23494866</v>
      </c>
      <c r="D59" s="6" t="s">
        <v>51</v>
      </c>
    </row>
    <row r="61" spans="1:9" x14ac:dyDescent="0.2">
      <c r="E61" s="2" t="s">
        <v>49</v>
      </c>
    </row>
    <row r="62" spans="1:9" x14ac:dyDescent="0.2">
      <c r="E62" s="2" t="s">
        <v>50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Microsoft Office User</cp:lastModifiedBy>
  <dcterms:created xsi:type="dcterms:W3CDTF">2023-02-28T15:26:50Z</dcterms:created>
  <dcterms:modified xsi:type="dcterms:W3CDTF">2023-02-28T17:29:00Z</dcterms:modified>
</cp:coreProperties>
</file>