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calcChain.xml" ContentType="application/vnd.openxmlformats-officedocument.spreadsheetml.calcChain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3380" yWindow="-740" windowWidth="24800" windowHeight="16760" tabRatio="500"/>
  </bookViews>
  <sheets>
    <sheet name="Q6" sheetId="2" r:id="rId1"/>
  </sheets>
  <calcPr calcId="130404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D50" i="2"/>
  <c r="D37"/>
  <c r="U27"/>
  <c r="U25"/>
  <c r="U24"/>
  <c r="F17"/>
  <c r="G17"/>
  <c r="S25"/>
  <c r="S27"/>
  <c r="S24"/>
  <c r="C6"/>
  <c r="C7"/>
  <c r="D52"/>
  <c r="D53"/>
  <c r="D20"/>
  <c r="D38"/>
  <c r="D54"/>
  <c r="D55"/>
  <c r="E51"/>
  <c r="E52"/>
  <c r="E37"/>
  <c r="E53"/>
  <c r="E20"/>
  <c r="E38"/>
  <c r="E54"/>
  <c r="E55"/>
  <c r="F51"/>
  <c r="F52"/>
  <c r="F37"/>
  <c r="F53"/>
  <c r="F20"/>
  <c r="F38"/>
  <c r="F54"/>
  <c r="F55"/>
  <c r="G51"/>
  <c r="G52"/>
  <c r="G37"/>
  <c r="G53"/>
  <c r="G20"/>
  <c r="G38"/>
  <c r="G54"/>
  <c r="G49"/>
  <c r="G55"/>
  <c r="C48"/>
  <c r="C20"/>
  <c r="C38"/>
  <c r="C54"/>
  <c r="C55"/>
  <c r="C57"/>
  <c r="D36"/>
  <c r="D39"/>
  <c r="E36"/>
  <c r="E39"/>
  <c r="F36"/>
  <c r="F39"/>
  <c r="G36"/>
  <c r="G34"/>
  <c r="G39"/>
  <c r="C39"/>
  <c r="C41"/>
  <c r="B59"/>
  <c r="G18"/>
  <c r="G16"/>
  <c r="G19"/>
  <c r="G21"/>
  <c r="E18"/>
  <c r="E19"/>
  <c r="E21"/>
  <c r="F18"/>
  <c r="F19"/>
  <c r="F21"/>
  <c r="D18"/>
  <c r="D19"/>
  <c r="D21"/>
  <c r="C8"/>
  <c r="C15"/>
  <c r="C21"/>
  <c r="C23"/>
</calcChain>
</file>

<file path=xl/sharedStrings.xml><?xml version="1.0" encoding="utf-8"?>
<sst xmlns="http://schemas.openxmlformats.org/spreadsheetml/2006/main" count="60" uniqueCount="40">
  <si>
    <t>After-tax profit per pump:</t>
    <phoneticPr fontId="3" type="noConversion"/>
  </si>
  <si>
    <t>E(NPV):</t>
    <phoneticPr fontId="3" type="noConversion"/>
  </si>
  <si>
    <t>This is the expected NPV of the base case equipment.</t>
    <phoneticPr fontId="3" type="noConversion"/>
  </si>
  <si>
    <t>If Ardmore installs the flexible equipment:</t>
    <phoneticPr fontId="3" type="noConversion"/>
  </si>
  <si>
    <t>Now it will have different cash flows in the 2 different scenarios:</t>
    <phoneticPr fontId="3" type="noConversion"/>
  </si>
  <si>
    <t>In the freshwater scenario the project's NPV would be:</t>
    <phoneticPr fontId="3" type="noConversion"/>
  </si>
  <si>
    <t>Exp(No of Pumps)</t>
    <phoneticPr fontId="3" type="noConversion"/>
  </si>
  <si>
    <t>No of Pumps:</t>
    <phoneticPr fontId="3" type="noConversion"/>
  </si>
  <si>
    <t>If salt water push is successful:</t>
    <phoneticPr fontId="3" type="noConversion"/>
  </si>
  <si>
    <t>A-T Switch Expense:</t>
    <phoneticPr fontId="3" type="noConversion"/>
  </si>
  <si>
    <t>Note that plugging in the expected number of units sold is the same as evaluating each scenario and probability-weighting:</t>
    <phoneticPr fontId="3" type="noConversion"/>
  </si>
  <si>
    <t>Saltwater</t>
    <phoneticPr fontId="3" type="noConversion"/>
  </si>
  <si>
    <t>No Saltwater</t>
    <phoneticPr fontId="3" type="noConversion"/>
  </si>
  <si>
    <t>Units</t>
    <phoneticPr fontId="3" type="noConversion"/>
  </si>
  <si>
    <t>Pr</t>
    <phoneticPr fontId="3" type="noConversion"/>
  </si>
  <si>
    <t>PR * Units</t>
    <phoneticPr fontId="3" type="noConversion"/>
  </si>
  <si>
    <t>NPV</t>
    <phoneticPr fontId="3" type="noConversion"/>
  </si>
  <si>
    <t>pr*NPV</t>
    <phoneticPr fontId="3" type="noConversion"/>
  </si>
  <si>
    <t xml:space="preserve">The more flexible capital should be installed.  </t>
    <phoneticPr fontId="3" type="noConversion"/>
  </si>
  <si>
    <t xml:space="preserve">  </t>
    <phoneticPr fontId="3" type="noConversion"/>
  </si>
  <si>
    <t>Tax rate:</t>
    <phoneticPr fontId="3" type="noConversion"/>
  </si>
  <si>
    <t>Total annual after-tax profit:</t>
    <phoneticPr fontId="3" type="noConversion"/>
  </si>
  <si>
    <t xml:space="preserve">    ke</t>
    <phoneticPr fontId="3" type="noConversion"/>
  </si>
  <si>
    <t>3-year MACRS Table:</t>
    <phoneticPr fontId="3" type="noConversion"/>
  </si>
  <si>
    <t>Year:</t>
    <phoneticPr fontId="3" type="noConversion"/>
  </si>
  <si>
    <t>Allowance:</t>
    <phoneticPr fontId="3" type="noConversion"/>
  </si>
  <si>
    <t>Time line:</t>
    <phoneticPr fontId="3" type="noConversion"/>
  </si>
  <si>
    <t>Cap Outlay:</t>
    <phoneticPr fontId="3" type="noConversion"/>
  </si>
  <si>
    <t>A-T inflows:</t>
    <phoneticPr fontId="3" type="noConversion"/>
  </si>
  <si>
    <t>Deprec Tax Shield:</t>
    <phoneticPr fontId="3" type="noConversion"/>
  </si>
  <si>
    <t>discount factor:</t>
    <phoneticPr fontId="3" type="noConversion"/>
  </si>
  <si>
    <t>NPV:</t>
    <phoneticPr fontId="3" type="noConversion"/>
  </si>
  <si>
    <t>In this scenario, the project's NPV would be:</t>
    <phoneticPr fontId="3" type="noConversion"/>
  </si>
  <si>
    <t>Pumps:</t>
    <phoneticPr fontId="3" type="noConversion"/>
  </si>
  <si>
    <t>Rev per pump:</t>
    <phoneticPr fontId="3" type="noConversion"/>
  </si>
  <si>
    <t>before tax profit per pump:</t>
    <phoneticPr fontId="3" type="noConversion"/>
  </si>
  <si>
    <t>Inventory</t>
    <phoneticPr fontId="3" type="noConversion"/>
  </si>
  <si>
    <t>Cost of mfg:</t>
    <phoneticPr fontId="3" type="noConversion"/>
  </si>
  <si>
    <t>PV:</t>
    <phoneticPr fontId="3" type="noConversion"/>
  </si>
  <si>
    <t>Capital Outlay:</t>
    <phoneticPr fontId="3" type="noConversion"/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</si>
</sst>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4">
    <font>
      <sz val="10"/>
      <name val="Verdana"/>
    </font>
    <font>
      <b/>
      <sz val="10"/>
      <name val="Verdana"/>
    </font>
    <font>
      <b/>
      <sz val="10"/>
      <name val="Verdana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3" fontId="0" fillId="0" borderId="0" xfId="0" applyNumberFormat="1"/>
    <xf numFmtId="0" fontId="2" fillId="0" borderId="0" xfId="0" applyFont="1"/>
    <xf numFmtId="3" fontId="0" fillId="0" borderId="0" xfId="0" applyNumberFormat="1"/>
    <xf numFmtId="3" fontId="1" fillId="0" borderId="0" xfId="0" applyNumberFormat="1" applyFon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5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U63"/>
  <sheetViews>
    <sheetView tabSelected="1" topLeftCell="A22" workbookViewId="0">
      <selection activeCell="D50" sqref="D50"/>
    </sheetView>
  </sheetViews>
  <sheetFormatPr baseColWidth="10" defaultRowHeight="13"/>
  <cols>
    <col min="1" max="1" width="11.85546875" customWidth="1"/>
    <col min="2" max="2" width="15.7109375" customWidth="1"/>
  </cols>
  <sheetData>
    <row r="1" spans="1:10">
      <c r="A1" t="s">
        <v>33</v>
      </c>
      <c r="B1" s="1">
        <v>3000</v>
      </c>
      <c r="E1" t="s">
        <v>20</v>
      </c>
      <c r="F1">
        <v>0.25</v>
      </c>
      <c r="G1" t="s">
        <v>22</v>
      </c>
      <c r="H1">
        <v>0.1</v>
      </c>
    </row>
    <row r="2" spans="1:10">
      <c r="A2" t="s">
        <v>34</v>
      </c>
      <c r="B2" s="1">
        <v>400</v>
      </c>
    </row>
    <row r="3" spans="1:10">
      <c r="I3" s="2"/>
    </row>
    <row r="4" spans="1:10">
      <c r="A4" t="s">
        <v>37</v>
      </c>
      <c r="C4">
        <v>260</v>
      </c>
    </row>
    <row r="5" spans="1:10">
      <c r="E5" t="s">
        <v>23</v>
      </c>
    </row>
    <row r="6" spans="1:10">
      <c r="A6" t="s">
        <v>35</v>
      </c>
      <c r="C6" s="3">
        <f>B2-C4</f>
        <v>140</v>
      </c>
      <c r="F6" t="s">
        <v>24</v>
      </c>
      <c r="G6">
        <v>1</v>
      </c>
      <c r="H6">
        <v>2</v>
      </c>
      <c r="I6">
        <v>3</v>
      </c>
      <c r="J6">
        <v>4</v>
      </c>
    </row>
    <row r="7" spans="1:10">
      <c r="A7" t="s">
        <v>0</v>
      </c>
      <c r="C7">
        <f>(1-F1)*C6</f>
        <v>105</v>
      </c>
      <c r="F7" t="s">
        <v>25</v>
      </c>
      <c r="G7">
        <v>0.33329999999999999</v>
      </c>
      <c r="H7">
        <v>0.44450000000000001</v>
      </c>
      <c r="I7">
        <v>0.14810000000000001</v>
      </c>
      <c r="J7">
        <v>7.4099999999999999E-2</v>
      </c>
    </row>
    <row r="8" spans="1:10">
      <c r="A8" t="s">
        <v>21</v>
      </c>
      <c r="C8" s="1">
        <f>C7*B1</f>
        <v>315000</v>
      </c>
    </row>
    <row r="10" spans="1:10">
      <c r="A10" t="s">
        <v>39</v>
      </c>
      <c r="C10" s="1">
        <v>1000000</v>
      </c>
    </row>
    <row r="13" spans="1:10">
      <c r="A13" t="s">
        <v>26</v>
      </c>
    </row>
    <row r="14" spans="1:10">
      <c r="B14" t="s">
        <v>24</v>
      </c>
      <c r="C14">
        <v>0</v>
      </c>
      <c r="D14">
        <v>1</v>
      </c>
      <c r="E14">
        <v>2</v>
      </c>
      <c r="F14">
        <v>3</v>
      </c>
      <c r="G14">
        <v>4</v>
      </c>
    </row>
    <row r="15" spans="1:10">
      <c r="B15" t="s">
        <v>27</v>
      </c>
      <c r="C15" s="1">
        <f>-C10</f>
        <v>-1000000</v>
      </c>
    </row>
    <row r="16" spans="1:10">
      <c r="B16" t="s">
        <v>36</v>
      </c>
      <c r="C16" s="3">
        <v>-150000</v>
      </c>
      <c r="G16" s="3">
        <f>-C16</f>
        <v>150000</v>
      </c>
    </row>
    <row r="17" spans="1:21">
      <c r="B17" t="s">
        <v>6</v>
      </c>
      <c r="C17" s="3"/>
      <c r="D17" s="3">
        <v>3666</v>
      </c>
      <c r="E17" s="3">
        <v>3000</v>
      </c>
      <c r="F17" s="3">
        <f>E17</f>
        <v>3000</v>
      </c>
      <c r="G17" s="3">
        <f>F17</f>
        <v>3000</v>
      </c>
    </row>
    <row r="18" spans="1:21">
      <c r="B18" t="s">
        <v>28</v>
      </c>
      <c r="D18" s="1">
        <f>D17*$C$7</f>
        <v>384930</v>
      </c>
      <c r="E18" s="3">
        <f t="shared" ref="E18:G18" si="0">E17*$C$7</f>
        <v>315000</v>
      </c>
      <c r="F18" s="3">
        <f t="shared" si="0"/>
        <v>315000</v>
      </c>
      <c r="G18" s="3">
        <f t="shared" si="0"/>
        <v>315000</v>
      </c>
    </row>
    <row r="19" spans="1:21">
      <c r="B19" t="s">
        <v>29</v>
      </c>
      <c r="D19" s="1">
        <f>$F$1*$C$10*G7</f>
        <v>83325</v>
      </c>
      <c r="E19" s="3">
        <f t="shared" ref="E19:G19" si="1">$F$1*$C$10*H7</f>
        <v>111125</v>
      </c>
      <c r="F19" s="3">
        <f t="shared" si="1"/>
        <v>37025</v>
      </c>
      <c r="G19" s="3">
        <f t="shared" si="1"/>
        <v>18525</v>
      </c>
    </row>
    <row r="20" spans="1:21">
      <c r="B20" t="s">
        <v>30</v>
      </c>
      <c r="C20">
        <f>1/(1+$H$1)^C14</f>
        <v>1</v>
      </c>
      <c r="D20">
        <f t="shared" ref="D20:G20" si="2">1/(1+$H$1)^D14</f>
        <v>0.90909090909090906</v>
      </c>
      <c r="E20">
        <f t="shared" si="2"/>
        <v>0.82644628099173545</v>
      </c>
      <c r="F20">
        <f t="shared" si="2"/>
        <v>0.75131480090157754</v>
      </c>
      <c r="G20">
        <f t="shared" si="2"/>
        <v>0.68301345536507052</v>
      </c>
    </row>
    <row r="21" spans="1:21">
      <c r="B21" t="s">
        <v>38</v>
      </c>
      <c r="C21" s="1">
        <f>C20*SUM(C15:C19)</f>
        <v>-1150000</v>
      </c>
      <c r="D21" s="1">
        <f>D20*SUM(D18:D19)</f>
        <v>425686.36363636365</v>
      </c>
      <c r="E21" s="3">
        <f t="shared" ref="E21:G21" si="3">E20*SUM(E18:E19)</f>
        <v>352169.42148760328</v>
      </c>
      <c r="F21" s="3">
        <f t="shared" si="3"/>
        <v>264481.59278737783</v>
      </c>
      <c r="G21" s="3">
        <f>G20*(G16+G18+G19)</f>
        <v>330254.08100539574</v>
      </c>
    </row>
    <row r="22" spans="1:21">
      <c r="D22" s="1"/>
    </row>
    <row r="23" spans="1:21">
      <c r="B23" t="s">
        <v>31</v>
      </c>
      <c r="C23" s="4">
        <f>SUM(C21:G21)</f>
        <v>222591.45891674049</v>
      </c>
      <c r="H23" t="s">
        <v>10</v>
      </c>
      <c r="Q23" t="s">
        <v>13</v>
      </c>
      <c r="R23" t="s">
        <v>14</v>
      </c>
      <c r="S23" t="s">
        <v>15</v>
      </c>
      <c r="T23" t="s">
        <v>16</v>
      </c>
      <c r="U23" t="s">
        <v>17</v>
      </c>
    </row>
    <row r="24" spans="1:21">
      <c r="A24" t="s">
        <v>2</v>
      </c>
      <c r="P24" t="s">
        <v>11</v>
      </c>
      <c r="Q24">
        <v>1000</v>
      </c>
      <c r="R24">
        <v>0.25</v>
      </c>
      <c r="S24">
        <f>Q24*R24</f>
        <v>250</v>
      </c>
      <c r="T24">
        <v>-252171</v>
      </c>
      <c r="U24">
        <f>R24*T24</f>
        <v>-63042.75</v>
      </c>
    </row>
    <row r="25" spans="1:21">
      <c r="P25" t="s">
        <v>12</v>
      </c>
      <c r="Q25">
        <v>3667</v>
      </c>
      <c r="R25">
        <v>0.75</v>
      </c>
      <c r="S25">
        <f>Q25*R25</f>
        <v>2750.25</v>
      </c>
      <c r="T25">
        <v>380925</v>
      </c>
      <c r="U25">
        <f>R25*T25</f>
        <v>285693.75</v>
      </c>
    </row>
    <row r="27" spans="1:21" ht="16" customHeight="1">
      <c r="A27" t="s">
        <v>3</v>
      </c>
      <c r="S27">
        <f>S24+S25</f>
        <v>3000.25</v>
      </c>
      <c r="U27">
        <f>U24+U25</f>
        <v>222651</v>
      </c>
    </row>
    <row r="28" spans="1:21">
      <c r="A28" t="s">
        <v>4</v>
      </c>
    </row>
    <row r="29" spans="1:21">
      <c r="A29" t="s">
        <v>5</v>
      </c>
    </row>
    <row r="30" spans="1:21">
      <c r="A30" t="s">
        <v>26</v>
      </c>
    </row>
    <row r="32" spans="1:21">
      <c r="B32" t="s">
        <v>24</v>
      </c>
      <c r="C32">
        <v>0</v>
      </c>
      <c r="D32">
        <v>1</v>
      </c>
      <c r="E32">
        <v>2</v>
      </c>
      <c r="F32">
        <v>3</v>
      </c>
      <c r="G32">
        <v>4</v>
      </c>
    </row>
    <row r="33" spans="1:8">
      <c r="B33" t="s">
        <v>27</v>
      </c>
      <c r="C33" s="1">
        <v>-1100000</v>
      </c>
    </row>
    <row r="34" spans="1:8">
      <c r="B34" t="s">
        <v>36</v>
      </c>
      <c r="C34" s="3">
        <v>-150000</v>
      </c>
      <c r="D34" s="3"/>
      <c r="G34" s="3">
        <f>-C34</f>
        <v>150000</v>
      </c>
    </row>
    <row r="35" spans="1:8">
      <c r="B35" t="s">
        <v>7</v>
      </c>
      <c r="C35" s="3"/>
      <c r="D35" s="3">
        <v>3666</v>
      </c>
      <c r="E35" s="3">
        <v>3666</v>
      </c>
      <c r="F35" s="3">
        <v>3666</v>
      </c>
      <c r="G35" s="3">
        <v>3666</v>
      </c>
    </row>
    <row r="36" spans="1:8">
      <c r="B36" t="s">
        <v>28</v>
      </c>
      <c r="D36" s="3">
        <f>D35*$C$7</f>
        <v>384930</v>
      </c>
      <c r="E36" s="3">
        <f t="shared" ref="E36:G36" si="4">E35*$C$7</f>
        <v>384930</v>
      </c>
      <c r="F36" s="3">
        <f t="shared" si="4"/>
        <v>384930</v>
      </c>
      <c r="G36" s="3">
        <f t="shared" si="4"/>
        <v>384930</v>
      </c>
    </row>
    <row r="37" spans="1:8">
      <c r="B37" t="s">
        <v>29</v>
      </c>
      <c r="D37" s="1">
        <f>-$F$1*G7*$C$33</f>
        <v>91657.5</v>
      </c>
      <c r="E37" s="3">
        <f>-$F$1*H7*$C$33</f>
        <v>122237.5</v>
      </c>
      <c r="F37" s="3">
        <f>-$F$1*I7*$C$33</f>
        <v>40727.5</v>
      </c>
      <c r="G37" s="3">
        <f>-$F$1*J7*$C$33</f>
        <v>20377.5</v>
      </c>
      <c r="H37" s="3"/>
    </row>
    <row r="38" spans="1:8">
      <c r="B38" t="s">
        <v>30</v>
      </c>
      <c r="C38">
        <f>C20</f>
        <v>1</v>
      </c>
      <c r="D38">
        <f t="shared" ref="D38:G38" si="5">D20</f>
        <v>0.90909090909090906</v>
      </c>
      <c r="E38">
        <f t="shared" si="5"/>
        <v>0.82644628099173545</v>
      </c>
      <c r="F38">
        <f t="shared" si="5"/>
        <v>0.75131480090157754</v>
      </c>
      <c r="G38">
        <f t="shared" si="5"/>
        <v>0.68301345536507052</v>
      </c>
    </row>
    <row r="39" spans="1:8">
      <c r="B39" t="s">
        <v>38</v>
      </c>
      <c r="C39" s="1">
        <f>C38*SUM(C33:C37)</f>
        <v>-1250000</v>
      </c>
      <c r="D39" s="1">
        <f>D38*(D36+D37)</f>
        <v>433261.36363636365</v>
      </c>
      <c r="E39" s="3">
        <f t="shared" ref="E39:G39" si="6">E38*(E36+E37)</f>
        <v>419146.69421487598</v>
      </c>
      <c r="F39" s="3">
        <f t="shared" si="6"/>
        <v>319802.77986476326</v>
      </c>
      <c r="G39" s="3">
        <f>G38*(G34+G36+G37)</f>
        <v>379282.49436513887</v>
      </c>
      <c r="H39" s="1"/>
    </row>
    <row r="41" spans="1:8">
      <c r="B41" t="s">
        <v>31</v>
      </c>
      <c r="C41" s="4">
        <f>SUM(C39:G39)</f>
        <v>301493.33208114177</v>
      </c>
    </row>
    <row r="43" spans="1:8">
      <c r="A43" t="s">
        <v>8</v>
      </c>
    </row>
    <row r="44" spans="1:8">
      <c r="A44" t="s">
        <v>32</v>
      </c>
    </row>
    <row r="45" spans="1:8">
      <c r="A45" t="s">
        <v>26</v>
      </c>
    </row>
    <row r="47" spans="1:8">
      <c r="B47" t="s">
        <v>24</v>
      </c>
      <c r="C47">
        <v>0</v>
      </c>
      <c r="D47">
        <v>1</v>
      </c>
      <c r="E47">
        <v>2</v>
      </c>
      <c r="F47">
        <v>3</v>
      </c>
      <c r="G47">
        <v>4</v>
      </c>
    </row>
    <row r="48" spans="1:8">
      <c r="B48" t="s">
        <v>27</v>
      </c>
      <c r="C48" s="3">
        <f>C33</f>
        <v>-1100000</v>
      </c>
    </row>
    <row r="49" spans="1:8">
      <c r="B49" t="s">
        <v>36</v>
      </c>
      <c r="C49" s="3">
        <v>-150000</v>
      </c>
      <c r="G49" s="3">
        <f>-C49</f>
        <v>150000</v>
      </c>
    </row>
    <row r="50" spans="1:8">
      <c r="B50" t="s">
        <v>9</v>
      </c>
      <c r="C50" s="3"/>
      <c r="D50" s="3">
        <f>-200000*(1-F1)</f>
        <v>-150000</v>
      </c>
      <c r="G50" s="3"/>
    </row>
    <row r="51" spans="1:8">
      <c r="B51" t="s">
        <v>7</v>
      </c>
      <c r="C51" s="3"/>
      <c r="D51" s="3">
        <v>3666</v>
      </c>
      <c r="E51" s="3">
        <f>D51</f>
        <v>3666</v>
      </c>
      <c r="F51" s="3">
        <f t="shared" ref="F51:G51" si="7">E51</f>
        <v>3666</v>
      </c>
      <c r="G51" s="3">
        <f t="shared" si="7"/>
        <v>3666</v>
      </c>
    </row>
    <row r="52" spans="1:8">
      <c r="B52" t="s">
        <v>28</v>
      </c>
      <c r="C52" s="3"/>
      <c r="D52" s="3">
        <f>D51*$C$7</f>
        <v>384930</v>
      </c>
      <c r="E52" s="3">
        <f t="shared" ref="E52:G52" si="8">E51*$C$7</f>
        <v>384930</v>
      </c>
      <c r="F52" s="3">
        <f t="shared" si="8"/>
        <v>384930</v>
      </c>
      <c r="G52" s="3">
        <f t="shared" si="8"/>
        <v>384930</v>
      </c>
    </row>
    <row r="53" spans="1:8">
      <c r="B53" t="s">
        <v>29</v>
      </c>
      <c r="D53" s="3">
        <f>D37</f>
        <v>91657.5</v>
      </c>
      <c r="E53" s="3">
        <f t="shared" ref="E53:G53" si="9">E37</f>
        <v>122237.5</v>
      </c>
      <c r="F53" s="3">
        <f t="shared" si="9"/>
        <v>40727.5</v>
      </c>
      <c r="G53" s="3">
        <f t="shared" si="9"/>
        <v>20377.5</v>
      </c>
    </row>
    <row r="54" spans="1:8">
      <c r="B54" t="s">
        <v>30</v>
      </c>
      <c r="C54">
        <f>C38</f>
        <v>1</v>
      </c>
      <c r="D54">
        <f t="shared" ref="D54:G54" si="10">D38</f>
        <v>0.90909090909090906</v>
      </c>
      <c r="E54">
        <f t="shared" si="10"/>
        <v>0.82644628099173545</v>
      </c>
      <c r="F54">
        <f t="shared" si="10"/>
        <v>0.75131480090157754</v>
      </c>
      <c r="G54">
        <f t="shared" si="10"/>
        <v>0.68301345536507052</v>
      </c>
    </row>
    <row r="55" spans="1:8">
      <c r="B55" t="s">
        <v>38</v>
      </c>
      <c r="C55" s="3">
        <f>C54*SUM(C48:C53)</f>
        <v>-1250000</v>
      </c>
      <c r="D55" s="3">
        <f>D54*(D50+D52+D53)</f>
        <v>296897.72727272724</v>
      </c>
      <c r="E55" s="3">
        <f>E54*(E52+E53)</f>
        <v>419146.69421487598</v>
      </c>
      <c r="F55" s="3">
        <f>F54*(F52+F53)</f>
        <v>319802.77986476326</v>
      </c>
      <c r="G55" s="3">
        <f>G54*(G49+G52+G53)</f>
        <v>379282.49436513887</v>
      </c>
      <c r="H55" s="3"/>
    </row>
    <row r="57" spans="1:8">
      <c r="B57" t="s">
        <v>31</v>
      </c>
      <c r="C57" s="4">
        <f>SUM(C55:G55)</f>
        <v>165129.69571750547</v>
      </c>
    </row>
    <row r="59" spans="1:8">
      <c r="A59" t="s">
        <v>1</v>
      </c>
      <c r="B59" s="4">
        <f>0.25*C57+0.75*C41</f>
        <v>267402.42299023271</v>
      </c>
      <c r="C59" s="3"/>
    </row>
    <row r="62" spans="1:8">
      <c r="A62" t="s">
        <v>18</v>
      </c>
    </row>
    <row r="63" spans="1:8">
      <c r="A63" t="s">
        <v>19</v>
      </c>
    </row>
  </sheetData>
  <phoneticPr fontId="3" type="noConversion"/>
  <pageMargins left="0.75" right="0.75" top="1" bottom="1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Q6</vt:lpstr>
    </vt:vector>
  </TitlesOfParts>
  <Company>University of Arizona</Company>
  <LinksUpToDate>false</LinksUpToDate>
  <SharedDoc>false</SharedDoc>
  <HyperlinksChanged>false</HyperlinksChanged>
  <AppVersion>12.0256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Lamoureux</dc:creator>
  <cp:lastModifiedBy>Chris Lamoureux</cp:lastModifiedBy>
  <dcterms:created xsi:type="dcterms:W3CDTF">2018-02-23T21:07:29Z</dcterms:created>
  <dcterms:modified xsi:type="dcterms:W3CDTF">2019-02-26T00:45:15Z</dcterms:modified>
</cp:coreProperties>
</file>