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lamlap/classes/510/2024/510B/probs/"/>
    </mc:Choice>
  </mc:AlternateContent>
  <xr:revisionPtr revIDLastSave="0" documentId="13_ncr:1_{FD6AECF0-243B-2F41-8927-37EF362E454B}" xr6:coauthVersionLast="47" xr6:coauthVersionMax="47" xr10:uidLastSave="{00000000-0000-0000-0000-000000000000}"/>
  <bookViews>
    <workbookView xWindow="12220" yWindow="1960" windowWidth="20060" windowHeight="1492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20" i="1" l="1"/>
  <c r="C12" i="1"/>
  <c r="C14" i="1"/>
  <c r="D14" i="1" s="1"/>
  <c r="E14" i="1" s="1"/>
  <c r="F14" i="1" s="1"/>
  <c r="C13" i="1"/>
  <c r="N4" i="1"/>
  <c r="F17" i="1"/>
  <c r="G14" i="1" l="1"/>
  <c r="H14" i="1" l="1"/>
  <c r="G17" i="1"/>
  <c r="H17" i="1"/>
  <c r="I17" i="1"/>
  <c r="J17" i="1"/>
  <c r="K17" i="1"/>
  <c r="L17" i="1"/>
  <c r="M17" i="1"/>
  <c r="D2" i="1"/>
  <c r="F2" i="1" s="1"/>
  <c r="M5" i="1"/>
  <c r="F15" i="1" s="1"/>
  <c r="H2" i="1"/>
  <c r="F1" i="1"/>
  <c r="R16" i="1"/>
  <c r="R13" i="1"/>
  <c r="C11" i="1"/>
  <c r="D11" i="1"/>
  <c r="N2" i="1"/>
  <c r="P1" i="1"/>
  <c r="G15" i="1" l="1"/>
  <c r="I14" i="1"/>
  <c r="H15" i="1"/>
  <c r="K1" i="1"/>
  <c r="G9" i="1"/>
  <c r="K9" i="1"/>
  <c r="H9" i="1"/>
  <c r="C9" i="1"/>
  <c r="M9" i="1"/>
  <c r="E9" i="1"/>
  <c r="E20" i="1" s="1"/>
  <c r="N9" i="1"/>
  <c r="O9" i="1"/>
  <c r="P9" i="1"/>
  <c r="L9" i="1"/>
  <c r="I9" i="1"/>
  <c r="D9" i="1"/>
  <c r="D20" i="1" s="1"/>
  <c r="O2" i="1"/>
  <c r="P2" i="1" s="1"/>
  <c r="H20" i="1" l="1"/>
  <c r="G20" i="1"/>
  <c r="Q9" i="1"/>
  <c r="R9" i="1"/>
  <c r="J9" i="1"/>
  <c r="J14" i="1"/>
  <c r="I15" i="1"/>
  <c r="I20" i="1" s="1"/>
  <c r="F9" i="1"/>
  <c r="F20" i="1" s="1"/>
  <c r="Q2" i="1"/>
  <c r="K14" i="1" l="1"/>
  <c r="J15" i="1"/>
  <c r="J20" i="1" s="1"/>
  <c r="R2" i="1"/>
  <c r="R5" i="1" s="1"/>
  <c r="L14" i="1" l="1"/>
  <c r="K15" i="1"/>
  <c r="K20" i="1" s="1"/>
  <c r="S2" i="1"/>
  <c r="M14" i="1" l="1"/>
  <c r="L15" i="1"/>
  <c r="L20" i="1" s="1"/>
  <c r="N14" i="1" l="1"/>
  <c r="M15" i="1"/>
  <c r="M20" i="1" s="1"/>
  <c r="O14" i="1" l="1"/>
  <c r="N15" i="1"/>
  <c r="N20" i="1" s="1"/>
  <c r="P14" i="1" l="1"/>
  <c r="O15" i="1"/>
  <c r="O20" i="1" s="1"/>
  <c r="P15" i="1" l="1"/>
  <c r="P20" i="1" s="1"/>
  <c r="Q14" i="1"/>
  <c r="R14" i="1" l="1"/>
  <c r="R15" i="1" s="1"/>
  <c r="R20" i="1" s="1"/>
  <c r="Q15" i="1"/>
  <c r="Q20" i="1" s="1"/>
  <c r="B21" i="1" l="1"/>
</calcChain>
</file>

<file path=xl/sharedStrings.xml><?xml version="1.0" encoding="utf-8"?>
<sst xmlns="http://schemas.openxmlformats.org/spreadsheetml/2006/main" count="46" uniqueCount="45">
  <si>
    <t>2) What is the effect on the project's desirability if the riskfree interest rate were to increase to 6.5%?</t>
    <phoneticPr fontId="2" type="noConversion"/>
  </si>
  <si>
    <t xml:space="preserve">  All other cells follow from these assumptions.</t>
    <phoneticPr fontId="2" type="noConversion"/>
  </si>
  <si>
    <t>Project Cash Flow Timeline</t>
    <phoneticPr fontId="2" type="noConversion"/>
  </si>
  <si>
    <t>Cash</t>
    <phoneticPr fontId="2" type="noConversion"/>
  </si>
  <si>
    <t>Time:</t>
    <phoneticPr fontId="2" type="noConversion"/>
  </si>
  <si>
    <t>WACC:</t>
    <phoneticPr fontId="2" type="noConversion"/>
  </si>
  <si>
    <t>ke:</t>
    <phoneticPr fontId="2" type="noConversion"/>
  </si>
  <si>
    <t>rf</t>
    <phoneticPr fontId="2" type="noConversion"/>
  </si>
  <si>
    <t>E(Rm)</t>
    <phoneticPr fontId="2" type="noConversion"/>
  </si>
  <si>
    <t>ytm</t>
    <phoneticPr fontId="2" type="noConversion"/>
  </si>
  <si>
    <t>tax rate:</t>
    <phoneticPr fontId="2" type="noConversion"/>
  </si>
  <si>
    <t>beta:</t>
    <phoneticPr fontId="2" type="noConversion"/>
  </si>
  <si>
    <t>kd</t>
    <phoneticPr fontId="2" type="noConversion"/>
  </si>
  <si>
    <t>we</t>
    <phoneticPr fontId="2" type="noConversion"/>
  </si>
  <si>
    <t>wd</t>
    <phoneticPr fontId="2" type="noConversion"/>
  </si>
  <si>
    <t>df:</t>
    <phoneticPr fontId="2" type="noConversion"/>
  </si>
  <si>
    <t>Install / Construction:</t>
    <phoneticPr fontId="2" type="noConversion"/>
  </si>
  <si>
    <t>Annual Cost reduction:</t>
    <phoneticPr fontId="2" type="noConversion"/>
  </si>
  <si>
    <t>tons</t>
    <phoneticPr fontId="2" type="noConversion"/>
  </si>
  <si>
    <t>old:</t>
    <phoneticPr fontId="2" type="noConversion"/>
  </si>
  <si>
    <t>new:</t>
    <phoneticPr fontId="2" type="noConversion"/>
  </si>
  <si>
    <t>savings per ton:</t>
    <phoneticPr fontId="2" type="noConversion"/>
  </si>
  <si>
    <t>growth rate:</t>
    <phoneticPr fontId="2" type="noConversion"/>
  </si>
  <si>
    <t>After-tax Cost savings:</t>
    <phoneticPr fontId="2" type="noConversion"/>
  </si>
  <si>
    <t>Inventory:</t>
    <phoneticPr fontId="2" type="noConversion"/>
  </si>
  <si>
    <t>Deprec Tax Savings:</t>
    <phoneticPr fontId="2" type="noConversion"/>
  </si>
  <si>
    <t>Deprec life:</t>
    <phoneticPr fontId="2" type="noConversion"/>
  </si>
  <si>
    <t>Deprec:</t>
    <phoneticPr fontId="2" type="noConversion"/>
  </si>
  <si>
    <t>S-L:</t>
    <phoneticPr fontId="2" type="noConversion"/>
  </si>
  <si>
    <t>MACRS Table:</t>
    <phoneticPr fontId="2" type="noConversion"/>
  </si>
  <si>
    <t>Salvage:</t>
    <phoneticPr fontId="2" type="noConversion"/>
  </si>
  <si>
    <t>Depreciable Base:</t>
    <phoneticPr fontId="2" type="noConversion"/>
  </si>
  <si>
    <t>PV:</t>
    <phoneticPr fontId="2" type="noConversion"/>
  </si>
  <si>
    <t>NPV:</t>
    <phoneticPr fontId="2" type="noConversion"/>
  </si>
  <si>
    <t>Land</t>
    <phoneticPr fontId="2" type="noConversion"/>
  </si>
  <si>
    <t>Total Invst:</t>
    <phoneticPr fontId="2" type="noConversion"/>
  </si>
  <si>
    <t>I place assumptions / project unknowns in highlighted cells.  We can manipulate these to do sensitivity analyses.</t>
    <phoneticPr fontId="2" type="noConversion"/>
  </si>
  <si>
    <t>An example is that we can ask questions such as what if our estimated construction costs are 15% too low?</t>
    <phoneticPr fontId="2" type="noConversion"/>
  </si>
  <si>
    <t xml:space="preserve">   We can identify break-even assumptions such as what is the minimum per-ton saving that would make this project viable, holding other assumptions fixed, etc.</t>
    <phoneticPr fontId="2" type="noConversion"/>
  </si>
  <si>
    <t>We can identify policy-related questions such as:</t>
    <phoneticPr fontId="2" type="noConversion"/>
  </si>
  <si>
    <t>1) What is the effect on the project's desirability if the corporate tax rate were to increase to 50%?</t>
    <phoneticPr fontId="2" type="noConversion"/>
  </si>
  <si>
    <t>debt risk premium</t>
  </si>
  <si>
    <t>Tons of material needed:</t>
  </si>
  <si>
    <t>Investment Tax Credit</t>
  </si>
  <si>
    <t>3) What effect does the Investment Tax Credit have on this decision?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</si>
</sst>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Verdana"/>
    </font>
    <font>
      <b/>
      <sz val="10"/>
      <name val="Verdana"/>
      <family val="2"/>
    </font>
    <font>
      <sz val="8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3" fontId="0" fillId="0" borderId="0" xfId="0" applyNumberFormat="1"/>
    <xf numFmtId="3" fontId="1" fillId="0" borderId="0" xfId="0" applyNumberFormat="1" applyFont="1"/>
    <xf numFmtId="0" fontId="0" fillId="2" borderId="0" xfId="0" applyFill="1"/>
    <xf numFmtId="3" fontId="0" fillId="2" borderId="0" xfId="0" applyNumberFormat="1" applyFill="1"/>
    <xf numFmtId="0" fontId="0" fillId="0" borderId="0" xfId="0" applyAlignment="1">
      <alignment horizontal="center"/>
    </xf>
    <xf numFmtId="0" fontId="3" fillId="2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A1:AA31"/>
  <sheetViews>
    <sheetView tabSelected="1" workbookViewId="0">
      <selection activeCell="E28" sqref="E28"/>
    </sheetView>
  </sheetViews>
  <sheetFormatPr baseColWidth="10" defaultColWidth="11" defaultRowHeight="13" x14ac:dyDescent="0.15"/>
  <cols>
    <col min="2" max="2" width="15.33203125" customWidth="1"/>
    <col min="3" max="3" width="11.33203125" bestFit="1" customWidth="1"/>
    <col min="4" max="4" width="16.6640625" customWidth="1"/>
    <col min="5" max="5" width="11.33203125" bestFit="1" customWidth="1"/>
    <col min="14" max="14" width="13" customWidth="1"/>
  </cols>
  <sheetData>
    <row r="1" spans="1:27" x14ac:dyDescent="0.15">
      <c r="A1" s="4" t="s">
        <v>7</v>
      </c>
      <c r="B1" s="4">
        <v>4.4999999999999998E-2</v>
      </c>
      <c r="C1" t="s">
        <v>5</v>
      </c>
      <c r="D1" s="6" t="s">
        <v>41</v>
      </c>
      <c r="E1" t="s">
        <v>6</v>
      </c>
      <c r="F1">
        <f>B1+B5*(B2-B1)</f>
        <v>8.3249999999999991E-2</v>
      </c>
      <c r="G1" s="4" t="s">
        <v>13</v>
      </c>
      <c r="H1" s="4">
        <v>0.79</v>
      </c>
      <c r="J1" t="s">
        <v>5</v>
      </c>
      <c r="K1" s="1">
        <f>H1*F1+H2*F2</f>
        <v>7.3382099999999992E-2</v>
      </c>
      <c r="M1" t="s">
        <v>26</v>
      </c>
      <c r="N1">
        <v>7</v>
      </c>
      <c r="O1" t="s">
        <v>28</v>
      </c>
      <c r="P1">
        <f>1/7</f>
        <v>0.14285714285714285</v>
      </c>
    </row>
    <row r="2" spans="1:27" x14ac:dyDescent="0.15">
      <c r="A2" s="4" t="s">
        <v>8</v>
      </c>
      <c r="B2" s="4">
        <v>0.09</v>
      </c>
      <c r="D2" s="6">
        <f>0.5*(B3-B1)</f>
        <v>4.0000000000000001E-3</v>
      </c>
      <c r="E2" t="s">
        <v>12</v>
      </c>
      <c r="F2">
        <f>(1-B4)*(B1+D2)</f>
        <v>3.6260000000000001E-2</v>
      </c>
      <c r="G2" s="4" t="s">
        <v>14</v>
      </c>
      <c r="H2" s="4">
        <f>1-H1</f>
        <v>0.20999999999999996</v>
      </c>
      <c r="M2" t="s">
        <v>27</v>
      </c>
      <c r="N2">
        <f>MAX(2*(1/N1)/2,0.5/7)</f>
        <v>0.14285714285714285</v>
      </c>
      <c r="O2">
        <f>MAX(2*(1-N2)/7,(1-N2)/7)</f>
        <v>0.24489795918367349</v>
      </c>
      <c r="P2">
        <f>2*(1-N2-O2)/7</f>
        <v>0.1749271137026239</v>
      </c>
      <c r="Q2">
        <f>2*(1-N2-O2-P2)/7</f>
        <v>0.12494793835901707</v>
      </c>
      <c r="R2">
        <f>2*(1-N2-O2-P2-Q2)/7</f>
        <v>8.9248527399297908E-2</v>
      </c>
      <c r="S2">
        <f>2*(1-N2-O2-P2-Q2-R2)/7</f>
        <v>6.3748948142355655E-2</v>
      </c>
    </row>
    <row r="3" spans="1:27" x14ac:dyDescent="0.15">
      <c r="A3" s="5" t="s">
        <v>9</v>
      </c>
      <c r="B3" s="4">
        <v>5.2999999999999999E-2</v>
      </c>
      <c r="L3" t="s">
        <v>29</v>
      </c>
      <c r="M3">
        <v>0.1429</v>
      </c>
      <c r="N3">
        <v>0.24490000000000001</v>
      </c>
      <c r="O3">
        <v>0.1749</v>
      </c>
      <c r="P3">
        <v>0.1249</v>
      </c>
      <c r="Q3">
        <v>8.9300000000000004E-2</v>
      </c>
      <c r="R3">
        <v>8.9200000000000002E-2</v>
      </c>
      <c r="S3">
        <v>8.9300000000000004E-2</v>
      </c>
      <c r="T3">
        <v>4.4600000000000001E-2</v>
      </c>
    </row>
    <row r="4" spans="1:27" x14ac:dyDescent="0.15">
      <c r="A4" s="4" t="s">
        <v>10</v>
      </c>
      <c r="B4" s="4">
        <v>0.26</v>
      </c>
      <c r="C4" s="4" t="s">
        <v>35</v>
      </c>
      <c r="D4" s="5">
        <v>182000000</v>
      </c>
      <c r="L4" t="s">
        <v>31</v>
      </c>
      <c r="N4" s="2">
        <f>D4-R18</f>
        <v>181500000</v>
      </c>
    </row>
    <row r="5" spans="1:27" x14ac:dyDescent="0.15">
      <c r="A5" s="4" t="s">
        <v>11</v>
      </c>
      <c r="B5" s="4">
        <v>0.85</v>
      </c>
      <c r="C5" s="4" t="s">
        <v>17</v>
      </c>
      <c r="D5" s="4"/>
      <c r="E5" s="4">
        <v>400</v>
      </c>
      <c r="F5" s="4" t="s">
        <v>18</v>
      </c>
      <c r="G5" s="4" t="s">
        <v>19</v>
      </c>
      <c r="H5" s="5">
        <v>190000</v>
      </c>
      <c r="I5" s="4" t="s">
        <v>20</v>
      </c>
      <c r="J5" s="5">
        <v>130000</v>
      </c>
      <c r="K5" t="s">
        <v>21</v>
      </c>
      <c r="M5" s="2">
        <f>H5-J5</f>
        <v>60000</v>
      </c>
      <c r="R5">
        <f>1/R2</f>
        <v>11.204666666666666</v>
      </c>
    </row>
    <row r="6" spans="1:27" x14ac:dyDescent="0.15">
      <c r="E6" s="4" t="s">
        <v>22</v>
      </c>
      <c r="F6" s="4">
        <v>0.02</v>
      </c>
    </row>
    <row r="7" spans="1:27" x14ac:dyDescent="0.15">
      <c r="A7" t="s">
        <v>2</v>
      </c>
    </row>
    <row r="8" spans="1:27" x14ac:dyDescent="0.15">
      <c r="A8" t="s">
        <v>3</v>
      </c>
      <c r="B8" t="s">
        <v>4</v>
      </c>
      <c r="C8">
        <v>0</v>
      </c>
      <c r="D8">
        <v>1</v>
      </c>
      <c r="E8">
        <v>2</v>
      </c>
      <c r="F8">
        <v>3</v>
      </c>
      <c r="G8">
        <v>4</v>
      </c>
      <c r="H8">
        <v>5</v>
      </c>
      <c r="I8">
        <v>6</v>
      </c>
      <c r="J8">
        <v>7</v>
      </c>
      <c r="K8">
        <v>8</v>
      </c>
      <c r="L8">
        <v>9</v>
      </c>
      <c r="M8">
        <v>10</v>
      </c>
      <c r="N8">
        <v>11</v>
      </c>
      <c r="O8">
        <v>12</v>
      </c>
      <c r="P8">
        <v>13</v>
      </c>
      <c r="Q8">
        <v>14</v>
      </c>
      <c r="R8">
        <v>15</v>
      </c>
    </row>
    <row r="9" spans="1:27" x14ac:dyDescent="0.15">
      <c r="B9" t="s">
        <v>15</v>
      </c>
      <c r="C9">
        <f t="shared" ref="C9:P9" si="0">1/(1+$K$1)^C8</f>
        <v>1</v>
      </c>
      <c r="D9">
        <f t="shared" si="0"/>
        <v>0.93163469001392896</v>
      </c>
      <c r="E9">
        <f t="shared" si="0"/>
        <v>0.86794319563734945</v>
      </c>
      <c r="F9">
        <f t="shared" si="0"/>
        <v>0.80860599001730094</v>
      </c>
      <c r="G9">
        <f t="shared" si="0"/>
        <v>0.75332539085317418</v>
      </c>
      <c r="H9">
        <f t="shared" si="0"/>
        <v>0.70182406698711886</v>
      </c>
      <c r="I9">
        <f t="shared" si="0"/>
        <v>0.65384364709185938</v>
      </c>
      <c r="J9">
        <f t="shared" si="0"/>
        <v>0.60914342347600103</v>
      </c>
      <c r="K9">
        <f t="shared" si="0"/>
        <v>0.56749914450408778</v>
      </c>
      <c r="L9">
        <f t="shared" si="0"/>
        <v>0.52870188957323572</v>
      </c>
      <c r="M9">
        <f t="shared" si="0"/>
        <v>0.49255702100233989</v>
      </c>
      <c r="N9">
        <f t="shared" si="0"/>
        <v>0.45888320757569917</v>
      </c>
      <c r="O9">
        <f t="shared" si="0"/>
        <v>0.42751151484238392</v>
      </c>
      <c r="P9">
        <f t="shared" si="0"/>
        <v>0.39828455760756953</v>
      </c>
      <c r="Q9">
        <f t="shared" ref="Q9:R9" si="1">1/(1+$K$1)^Q8</f>
        <v>0.37105571036406282</v>
      </c>
      <c r="R9">
        <f t="shared" si="1"/>
        <v>0.34568837170292183</v>
      </c>
    </row>
    <row r="11" spans="1:27" x14ac:dyDescent="0.15">
      <c r="A11" t="s">
        <v>16</v>
      </c>
      <c r="C11" s="2">
        <f>-0.5*D4</f>
        <v>-91000000</v>
      </c>
      <c r="D11" s="2">
        <f>-0.5*D4</f>
        <v>-91000000</v>
      </c>
    </row>
    <row r="12" spans="1:27" x14ac:dyDescent="0.15">
      <c r="A12" s="8" t="s">
        <v>43</v>
      </c>
      <c r="C12" s="2">
        <f>50000000*0.3</f>
        <v>15000000</v>
      </c>
      <c r="D12" s="2"/>
    </row>
    <row r="13" spans="1:27" x14ac:dyDescent="0.15">
      <c r="A13" s="4" t="s">
        <v>34</v>
      </c>
      <c r="B13" s="4"/>
      <c r="C13" s="5">
        <f>-142*45000</f>
        <v>-6390000</v>
      </c>
      <c r="D13" s="2"/>
      <c r="R13" s="2">
        <f>-C13</f>
        <v>6390000</v>
      </c>
    </row>
    <row r="14" spans="1:27" x14ac:dyDescent="0.15">
      <c r="A14" s="7" t="s">
        <v>42</v>
      </c>
      <c r="B14" s="4"/>
      <c r="C14" s="5">
        <f>E5</f>
        <v>400</v>
      </c>
      <c r="D14" s="2">
        <f>C14*EXP($F$6)</f>
        <v>408.0805360107023</v>
      </c>
      <c r="E14" s="2">
        <f t="shared" ref="E14:P14" si="2">D14*EXP($F$6)</f>
        <v>416.32430967695524</v>
      </c>
      <c r="F14" s="2">
        <f t="shared" si="2"/>
        <v>424.73461861814377</v>
      </c>
      <c r="G14" s="2">
        <f t="shared" si="2"/>
        <v>433.31482706998332</v>
      </c>
      <c r="H14" s="2">
        <f t="shared" si="2"/>
        <v>442.06836723025896</v>
      </c>
      <c r="I14" s="2">
        <f t="shared" si="2"/>
        <v>450.99874063175014</v>
      </c>
      <c r="J14" s="2">
        <f t="shared" si="2"/>
        <v>460.10951954289078</v>
      </c>
      <c r="K14" s="2">
        <f t="shared" si="2"/>
        <v>469.40434839672395</v>
      </c>
      <c r="L14" s="2">
        <f t="shared" si="2"/>
        <v>478.88694524872392</v>
      </c>
      <c r="M14" s="2">
        <f t="shared" si="2"/>
        <v>488.56110326406775</v>
      </c>
      <c r="N14" s="2">
        <f t="shared" si="2"/>
        <v>498.43069223495212</v>
      </c>
      <c r="O14" s="2">
        <f t="shared" si="2"/>
        <v>508.49966012856163</v>
      </c>
      <c r="P14" s="2">
        <f t="shared" si="2"/>
        <v>518.7720346663084</v>
      </c>
      <c r="Q14" s="2">
        <f t="shared" ref="Q14:R14" si="3">P14*EXP($F$6)</f>
        <v>529.25192493497445</v>
      </c>
      <c r="R14" s="2">
        <f t="shared" si="3"/>
        <v>539.94352303040091</v>
      </c>
    </row>
    <row r="15" spans="1:27" x14ac:dyDescent="0.15">
      <c r="A15" t="s">
        <v>23</v>
      </c>
      <c r="E15" s="2"/>
      <c r="F15" s="2">
        <f>F14*$M$5*(1-$B$4)</f>
        <v>18858217.066645585</v>
      </c>
      <c r="G15" s="2">
        <f t="shared" ref="G15:P15" si="4">G14*$M$5*(1-$B$4)</f>
        <v>19239178.32190726</v>
      </c>
      <c r="H15" s="2">
        <f t="shared" si="4"/>
        <v>19627835.505023498</v>
      </c>
      <c r="I15" s="2">
        <f t="shared" si="4"/>
        <v>20024344.084049705</v>
      </c>
      <c r="J15" s="2">
        <f t="shared" si="4"/>
        <v>20428862.667704351</v>
      </c>
      <c r="K15" s="2">
        <f t="shared" si="4"/>
        <v>20841553.068814542</v>
      </c>
      <c r="L15" s="2">
        <f t="shared" si="4"/>
        <v>21262580.369043339</v>
      </c>
      <c r="M15" s="2">
        <f t="shared" si="4"/>
        <v>21692112.984924607</v>
      </c>
      <c r="N15" s="2">
        <f t="shared" si="4"/>
        <v>22130322.735231873</v>
      </c>
      <c r="O15" s="2">
        <f t="shared" si="4"/>
        <v>22577384.909708139</v>
      </c>
      <c r="P15" s="2">
        <f t="shared" si="4"/>
        <v>23033478.33918409</v>
      </c>
      <c r="Q15" s="2">
        <f t="shared" ref="Q15" si="5">Q14*$M$5*(1-$B$4)</f>
        <v>23498785.467112865</v>
      </c>
      <c r="R15" s="2">
        <f t="shared" ref="R15" si="6">R14*$M$5*(1-$B$4)</f>
        <v>23973492.422549799</v>
      </c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15">
      <c r="A16" s="4" t="s">
        <v>24</v>
      </c>
      <c r="E16" s="5">
        <v>-5000000</v>
      </c>
      <c r="R16" s="2">
        <f>-E16</f>
        <v>5000000</v>
      </c>
    </row>
    <row r="17" spans="1:18" x14ac:dyDescent="0.15">
      <c r="A17" t="s">
        <v>25</v>
      </c>
      <c r="F17" s="2">
        <f>$B$4*M3*$N$4</f>
        <v>6743451</v>
      </c>
      <c r="G17" s="2">
        <f t="shared" ref="G17:M17" si="7">$B$4*N3*$N$4</f>
        <v>11556831.000000002</v>
      </c>
      <c r="H17" s="2">
        <f t="shared" si="7"/>
        <v>8253531</v>
      </c>
      <c r="I17" s="2">
        <f t="shared" si="7"/>
        <v>5894031.0000000009</v>
      </c>
      <c r="J17" s="2">
        <f t="shared" si="7"/>
        <v>4214067</v>
      </c>
      <c r="K17" s="2">
        <f t="shared" si="7"/>
        <v>4209348</v>
      </c>
      <c r="L17" s="2">
        <f t="shared" si="7"/>
        <v>4214067</v>
      </c>
      <c r="M17" s="2">
        <f t="shared" si="7"/>
        <v>2104674</v>
      </c>
      <c r="N17" s="2"/>
      <c r="O17" s="2"/>
      <c r="P17" s="2"/>
    </row>
    <row r="18" spans="1:18" x14ac:dyDescent="0.15">
      <c r="A18" s="4" t="s">
        <v>30</v>
      </c>
      <c r="R18" s="5">
        <v>500000</v>
      </c>
    </row>
    <row r="20" spans="1:18" x14ac:dyDescent="0.15">
      <c r="A20" s="2" t="s">
        <v>32</v>
      </c>
      <c r="B20" s="2"/>
      <c r="C20" s="2">
        <f>C9*(C11+C12+C13+C15+C16+C17+C18)</f>
        <v>-82390000</v>
      </c>
      <c r="D20" s="2">
        <f t="shared" ref="D20:O20" si="8">D9*(D11+D13+D15+D16+D17+D18)</f>
        <v>-84778756.791267529</v>
      </c>
      <c r="E20" s="2">
        <f>E9*(E11+E13+E15+E16+E17+E18)</f>
        <v>-4339715.9781867471</v>
      </c>
      <c r="F20" s="2">
        <f>F9*(F11+F13+F15+F16+F17+F18)</f>
        <v>20701662.153124273</v>
      </c>
      <c r="G20" s="2">
        <f>G9*(G11+G13+G15+G16+G17+G18)</f>
        <v>23199415.759143781</v>
      </c>
      <c r="H20" s="2">
        <f t="shared" si="8"/>
        <v>19567814.033714022</v>
      </c>
      <c r="I20" s="2">
        <f t="shared" si="8"/>
        <v>16946564.891649839</v>
      </c>
      <c r="J20" s="2">
        <f t="shared" si="8"/>
        <v>15011078.542263741</v>
      </c>
      <c r="K20" s="2">
        <f t="shared" si="8"/>
        <v>14216364.925608791</v>
      </c>
      <c r="L20" s="2">
        <f t="shared" si="8"/>
        <v>13469551.604004217</v>
      </c>
      <c r="M20" s="2">
        <f t="shared" si="8"/>
        <v>11721274.506721718</v>
      </c>
      <c r="N20" s="2">
        <f>N9*(N11+N13+N15+N16+N17+N18)</f>
        <v>10155233.481428621</v>
      </c>
      <c r="O20" s="2">
        <f t="shared" si="8"/>
        <v>9652092.0239289049</v>
      </c>
      <c r="P20" s="2">
        <f>P9*(P11+R13+P15+R16+P17+R18)</f>
        <v>13909482.120439474</v>
      </c>
      <c r="Q20" s="2">
        <f t="shared" ref="Q20:R20" si="9">Q9*(Q11+S13+Q15+S16+Q17+S18)</f>
        <v>8719358.5341922808</v>
      </c>
      <c r="R20" s="2">
        <f t="shared" si="9"/>
        <v>8287357.5595835745</v>
      </c>
    </row>
    <row r="21" spans="1:18" x14ac:dyDescent="0.15">
      <c r="A21" s="1" t="s">
        <v>33</v>
      </c>
      <c r="B21" s="3">
        <f>SUM(C20:R20)</f>
        <v>14048777.366348987</v>
      </c>
    </row>
    <row r="23" spans="1:18" x14ac:dyDescent="0.15">
      <c r="A23" s="5" t="s">
        <v>36</v>
      </c>
      <c r="B23" s="5"/>
      <c r="C23" s="5"/>
      <c r="D23" s="5"/>
      <c r="E23" s="5"/>
      <c r="F23" s="5"/>
      <c r="G23" s="5"/>
      <c r="H23" s="5"/>
      <c r="I23" t="s">
        <v>1</v>
      </c>
    </row>
    <row r="25" spans="1:18" x14ac:dyDescent="0.15">
      <c r="A25" t="s">
        <v>37</v>
      </c>
    </row>
    <row r="26" spans="1:18" x14ac:dyDescent="0.15">
      <c r="A26" t="s">
        <v>38</v>
      </c>
    </row>
    <row r="28" spans="1:18" x14ac:dyDescent="0.15">
      <c r="A28" t="s">
        <v>39</v>
      </c>
    </row>
    <row r="29" spans="1:18" x14ac:dyDescent="0.15">
      <c r="D29" t="s">
        <v>40</v>
      </c>
    </row>
    <row r="30" spans="1:18" x14ac:dyDescent="0.15">
      <c r="D30" t="s">
        <v>0</v>
      </c>
    </row>
    <row r="31" spans="1:18" x14ac:dyDescent="0.15">
      <c r="D31" s="8" t="s">
        <v>44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Microsoft Office User</cp:lastModifiedBy>
  <dcterms:created xsi:type="dcterms:W3CDTF">2018-02-10T18:15:53Z</dcterms:created>
  <dcterms:modified xsi:type="dcterms:W3CDTF">2024-01-30T20:47:41Z</dcterms:modified>
</cp:coreProperties>
</file>