
<file path=[Content_Types].xml><?xml version="1.0" encoding="utf-8"?>
<Types xmlns="http://schemas.openxmlformats.org/package/2006/content-types">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Override PartName="/docProps/core.xml" ContentType="application/vnd.openxmlformats-package.core-properties+xml"/>
  <Default Extension="xml" ContentType="application/xml"/>
  <Override PartName="/xl/theme/theme1.xml" ContentType="application/vnd.openxmlformats-officedocument.theme+xml"/>
  <Override PartName="/xl/calcChain.xml" ContentType="application/vnd.openxmlformats-officedocument.spreadsheetml.calcChain+xml"/>
  <Override PartName="/xl/styles.xml" ContentType="application/vnd.openxmlformats-officedocument.spreadsheetml.styles+xml"/>
  <Override PartName="/xl/sharedStrings.xml" ContentType="application/vnd.openxmlformats-officedocument.spreadsheetml.sharedStrings+xml"/>
  <Default Extension="rels" ContentType="application/vnd.openxmlformats-package.relationship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1" showInkAnnotation="0" autoCompressPictures="0"/>
  <bookViews>
    <workbookView xWindow="-20" yWindow="-20" windowWidth="24040" windowHeight="11480" tabRatio="500"/>
  </bookViews>
  <sheets>
    <sheet name="Sheet1" sheetId="1" r:id="rId1"/>
  </sheets>
  <calcPr calcId="145621"/>
  <extLst>
    <ext xmlns:mx="http://schemas.microsoft.com/office/mac/excel/2008/main" uri="http://schemas.microsoft.com/office/mac/excel/2008/main">
      <mx:ArchID Flags="2"/>
    </ext>
  </extLst>
</workbook>
</file>

<file path=xl/calcChain.xml><?xml version="1.0" encoding="utf-8"?>
<calcChain xmlns="http://schemas.openxmlformats.org/spreadsheetml/2006/main">
  <c r="H81" i="1"/>
  <c r="N73"/>
  <c r="H73"/>
  <c r="F71"/>
  <c r="F70"/>
  <c r="H66"/>
  <c r="F66"/>
  <c r="F65"/>
  <c r="H63"/>
  <c r="F63"/>
  <c r="F62"/>
  <c r="E59"/>
  <c r="C58"/>
  <c r="F57"/>
  <c r="I56"/>
  <c r="H56"/>
  <c r="G56"/>
  <c r="E56"/>
  <c r="D56"/>
  <c r="I55"/>
  <c r="H55"/>
  <c r="G55"/>
  <c r="E55"/>
  <c r="D55"/>
  <c r="F48"/>
  <c r="I46"/>
  <c r="E46"/>
  <c r="I45"/>
  <c r="E45"/>
  <c r="F44"/>
  <c r="F43"/>
  <c r="C43"/>
  <c r="F42"/>
  <c r="F41"/>
  <c r="E27"/>
  <c r="F25"/>
  <c r="D25"/>
  <c r="N23"/>
  <c r="M23"/>
  <c r="L23"/>
  <c r="K23"/>
  <c r="F23"/>
  <c r="E23"/>
  <c r="D23"/>
  <c r="C23"/>
  <c r="N22"/>
  <c r="M22"/>
  <c r="L22"/>
  <c r="K22"/>
  <c r="F22"/>
  <c r="E22"/>
  <c r="D22"/>
  <c r="C22"/>
  <c r="F10"/>
  <c r="G8"/>
  <c r="E8"/>
  <c r="X6"/>
  <c r="W6"/>
  <c r="U6"/>
  <c r="T6"/>
  <c r="S6"/>
  <c r="R6"/>
  <c r="Q6"/>
  <c r="O6"/>
  <c r="N6"/>
  <c r="M6"/>
  <c r="I6"/>
  <c r="H6"/>
  <c r="F6"/>
  <c r="X5"/>
  <c r="W5"/>
  <c r="U5"/>
  <c r="T5"/>
  <c r="S5"/>
  <c r="R5"/>
  <c r="Q5"/>
  <c r="O5"/>
  <c r="N5"/>
  <c r="M5"/>
  <c r="I5"/>
  <c r="H5"/>
  <c r="F5"/>
</calcChain>
</file>

<file path=xl/sharedStrings.xml><?xml version="1.0" encoding="utf-8"?>
<sst xmlns="http://schemas.openxmlformats.org/spreadsheetml/2006/main" count="103" uniqueCount="93">
  <si>
    <t xml:space="preserve">Approximation to the trade P&amp;L based on the DV01 of the on-the-run note and the actual change in </t>
  </si>
  <si>
    <t>the spread of spreads:</t>
  </si>
  <si>
    <t>Short the on-the-run and long the off-the-run :</t>
    <phoneticPr fontId="1" type="noConversion"/>
  </si>
  <si>
    <t>1. Sell</t>
    <phoneticPr fontId="1" type="noConversion"/>
  </si>
  <si>
    <t>par of the OTR</t>
    <phoneticPr fontId="1" type="noConversion"/>
  </si>
  <si>
    <t>2. Lend proceeds at repo:</t>
    <phoneticPr fontId="1" type="noConversion"/>
  </si>
  <si>
    <t>Cash Flows on</t>
    <phoneticPr fontId="1" type="noConversion"/>
  </si>
  <si>
    <t>Initiation</t>
    <phoneticPr fontId="1" type="noConversion"/>
  </si>
  <si>
    <t>3. Buy</t>
    <phoneticPr fontId="1" type="noConversion"/>
  </si>
  <si>
    <t>Forward DV01</t>
    <phoneticPr fontId="1" type="noConversion"/>
  </si>
  <si>
    <t>Mod Dur</t>
    <phoneticPr fontId="1" type="noConversion"/>
  </si>
  <si>
    <t>Note</t>
    <phoneticPr fontId="1" type="noConversion"/>
  </si>
  <si>
    <t>Note Fwd</t>
    <phoneticPr fontId="1" type="noConversion"/>
  </si>
  <si>
    <t>Swap Fwd</t>
    <phoneticPr fontId="1" type="noConversion"/>
  </si>
  <si>
    <t>Mod Dur</t>
    <phoneticPr fontId="1" type="noConversion"/>
  </si>
  <si>
    <t xml:space="preserve"> * OTR par units of off-the-run:</t>
    <phoneticPr fontId="1" type="noConversion"/>
  </si>
  <si>
    <t>4. Borrow that amount  in repo</t>
    <phoneticPr fontId="1" type="noConversion"/>
  </si>
  <si>
    <t>5. Enter Receive Fixed Nov 15 swaps forward for note ratio:</t>
    <phoneticPr fontId="1" type="noConversion"/>
  </si>
  <si>
    <t>6. Enter Pay fixed May 15 swaps forward</t>
    <phoneticPr fontId="1" type="noConversion"/>
  </si>
  <si>
    <t>Actual Situation on May 8, 2001</t>
    <phoneticPr fontId="1" type="noConversion"/>
  </si>
  <si>
    <t>Clean Price</t>
    <phoneticPr fontId="1" type="noConversion"/>
  </si>
  <si>
    <t>Cover the short position in the Nov notes:</t>
    <phoneticPr fontId="1" type="noConversion"/>
  </si>
  <si>
    <t>Collect Repo Interest</t>
    <phoneticPr fontId="1" type="noConversion"/>
  </si>
  <si>
    <t>Sell May notes</t>
    <phoneticPr fontId="1" type="noConversion"/>
  </si>
  <si>
    <t>Pay Repo Interest:</t>
    <phoneticPr fontId="1" type="noConversion"/>
  </si>
  <si>
    <t>Price</t>
    <phoneticPr fontId="1" type="noConversion"/>
  </si>
  <si>
    <t>On-the-run premium 2.  Example from Tuckman.</t>
    <phoneticPr fontId="1" type="noConversion"/>
  </si>
  <si>
    <t>Situation on January 17, 2001:</t>
    <phoneticPr fontId="1" type="noConversion"/>
  </si>
  <si>
    <t>Coupon</t>
    <phoneticPr fontId="1" type="noConversion"/>
  </si>
  <si>
    <t>Mat</t>
    <phoneticPr fontId="1" type="noConversion"/>
  </si>
  <si>
    <t>Yld</t>
    <phoneticPr fontId="1" type="noConversion"/>
  </si>
  <si>
    <t>Swap Rate</t>
    <phoneticPr fontId="1" type="noConversion"/>
  </si>
  <si>
    <t>to Mat</t>
    <phoneticPr fontId="1" type="noConversion"/>
  </si>
  <si>
    <t>DV01</t>
    <phoneticPr fontId="1" type="noConversion"/>
  </si>
  <si>
    <t>(Appendix 18A p.390, Second Ed.)</t>
    <phoneticPr fontId="1" type="noConversion"/>
  </si>
  <si>
    <t>Additional Computations:</t>
    <phoneticPr fontId="1" type="noConversion"/>
  </si>
  <si>
    <t>Note M Dur</t>
    <phoneticPr fontId="1" type="noConversion"/>
  </si>
  <si>
    <t>Note DV01</t>
    <phoneticPr fontId="1" type="noConversion"/>
  </si>
  <si>
    <t>Fixed Leg</t>
    <phoneticPr fontId="1" type="noConversion"/>
  </si>
  <si>
    <t>Swap</t>
    <phoneticPr fontId="1" type="noConversion"/>
  </si>
  <si>
    <t>Swap Mdur</t>
    <phoneticPr fontId="1" type="noConversion"/>
  </si>
  <si>
    <t>Fixed Leg</t>
    <phoneticPr fontId="1" type="noConversion"/>
  </si>
  <si>
    <t>Swap DV01</t>
    <phoneticPr fontId="1" type="noConversion"/>
  </si>
  <si>
    <t>Float Leg Swap</t>
    <phoneticPr fontId="1" type="noConversion"/>
  </si>
  <si>
    <t>Approx Swap</t>
    <phoneticPr fontId="1" type="noConversion"/>
  </si>
  <si>
    <t>Repo to</t>
    <phoneticPr fontId="1" type="noConversion"/>
  </si>
  <si>
    <t>Note Clean Price</t>
    <phoneticPr fontId="1" type="noConversion"/>
  </si>
  <si>
    <t>AI</t>
    <phoneticPr fontId="1" type="noConversion"/>
  </si>
  <si>
    <t>Last Coupon</t>
    <phoneticPr fontId="1" type="noConversion"/>
  </si>
  <si>
    <t>Next Coupon</t>
    <phoneticPr fontId="1" type="noConversion"/>
  </si>
  <si>
    <t>AI</t>
    <phoneticPr fontId="1" type="noConversion"/>
  </si>
  <si>
    <t>Spread:</t>
    <phoneticPr fontId="1" type="noConversion"/>
  </si>
  <si>
    <t>Spread of Spreads:</t>
    <phoneticPr fontId="1" type="noConversion"/>
  </si>
  <si>
    <t>Spread</t>
    <phoneticPr fontId="1" type="noConversion"/>
  </si>
  <si>
    <t>Nov 05 Note:</t>
    <phoneticPr fontId="1" type="noConversion"/>
  </si>
  <si>
    <t>AI on</t>
    <phoneticPr fontId="1" type="noConversion"/>
  </si>
  <si>
    <t>Forward Yld</t>
    <phoneticPr fontId="1" type="noConversion"/>
  </si>
  <si>
    <t>Forward Price</t>
    <phoneticPr fontId="1" type="noConversion"/>
  </si>
  <si>
    <t>May 05 Note:</t>
    <phoneticPr fontId="1" type="noConversion"/>
  </si>
  <si>
    <t>Swap Rate to 5/8/2001:</t>
    <phoneticPr fontId="1" type="noConversion"/>
  </si>
  <si>
    <t>Forward Spread:</t>
    <phoneticPr fontId="1" type="noConversion"/>
  </si>
  <si>
    <t>Fixed Leg</t>
  </si>
  <si>
    <t xml:space="preserve"> Treasury Settle</t>
  </si>
  <si>
    <t xml:space="preserve">  Swap Settle</t>
  </si>
  <si>
    <t>swap next floating pmt:</t>
  </si>
  <si>
    <t>What happened?</t>
  </si>
  <si>
    <t>We placed a bet on the spread of spreads getting larger, which did in fact happen.</t>
  </si>
  <si>
    <t>Trade P&amp;L:</t>
  </si>
  <si>
    <t>Even in the forward trade the November note is trading rich.</t>
    <phoneticPr fontId="1" type="noConversion"/>
  </si>
  <si>
    <t>The relevant question to see whether we might want to implement a relative value, or convergence, trade is what is the normal spread of spreads.  (Although the Pive case demonstrates the dangers of this line of thought!)</t>
    <phoneticPr fontId="1" type="noConversion"/>
  </si>
  <si>
    <t>Experienced traders expect the spread of spreads between a first-off-the-run and second-off-the-run note to be around 3 bps.  So that means a nimble trader may be able to capture the 4.5 bp difference.</t>
    <phoneticPr fontId="1" type="noConversion"/>
  </si>
  <si>
    <t>The trade should be structured to eiminate exposure to changes in the level of the yield curve by matching the DV01 of the 2 notes and also the slope of the yield curve using risk-neutralized swaps.</t>
    <phoneticPr fontId="1" type="noConversion"/>
  </si>
  <si>
    <t>Notional Principle:</t>
    <phoneticPr fontId="1" type="noConversion"/>
  </si>
  <si>
    <t>Swap Clean Price</t>
    <phoneticPr fontId="1" type="noConversion"/>
  </si>
  <si>
    <t>Nov 05 Swaps:</t>
    <phoneticPr fontId="1" type="noConversion"/>
  </si>
  <si>
    <t>May 05 Swaps:</t>
    <phoneticPr fontId="1" type="noConversion"/>
  </si>
  <si>
    <t>Spread:</t>
    <phoneticPr fontId="1" type="noConversion"/>
  </si>
  <si>
    <t>Spread of Spreads:</t>
    <phoneticPr fontId="1" type="noConversion"/>
  </si>
  <si>
    <t>The first thing we note is that there is a large on-the-run premium, in the sense that the yield on the on-the-run note is 12 basis points below the first off-the-run note.</t>
    <phoneticPr fontId="1" type="noConversion"/>
  </si>
  <si>
    <t xml:space="preserve">  --However, this might be because the yield curve is downward sloping at these maturities.</t>
    <phoneticPr fontId="1" type="noConversion"/>
  </si>
  <si>
    <t>We look at the swap curve to benchmark the yield curve.  In fact, we see that the yield curve is upward sloped in this region.</t>
    <phoneticPr fontId="1" type="noConversion"/>
  </si>
  <si>
    <t>Next we look at the fact that the on-the-run note is trading on special in repo.  About 120 bps special relative to the off-the-run financing.</t>
    <phoneticPr fontId="1" type="noConversion"/>
  </si>
  <si>
    <t>We can evaluate the effects net of financing by considering the forward prices on the notes.  We use the forward date of May 8, 2001, as that is when the Treasury will auction new 5-year notes.</t>
    <phoneticPr fontId="1" type="noConversion"/>
  </si>
  <si>
    <t xml:space="preserve">  At that point the November note will go off-the-run.</t>
    <phoneticPr fontId="1" type="noConversion"/>
  </si>
  <si>
    <t>Forward</t>
    <phoneticPr fontId="1" type="noConversion"/>
  </si>
  <si>
    <t>Swap Rate</t>
    <phoneticPr fontId="1" type="noConversion"/>
  </si>
  <si>
    <t>Notes</t>
    <phoneticPr fontId="1" type="noConversion"/>
  </si>
  <si>
    <t>Swaps</t>
    <phoneticPr fontId="1" type="noConversion"/>
  </si>
  <si>
    <t>Swap Price</t>
    <phoneticPr fontId="1" type="noConversion"/>
  </si>
  <si>
    <t xml:space="preserve">Forward </t>
    <phoneticPr fontId="1" type="noConversion"/>
  </si>
  <si>
    <t>Swap Yield</t>
    <phoneticPr fontId="1" type="noConversion"/>
  </si>
  <si>
    <t>Forward Spread of Speads:</t>
    <phoneticPr fontId="1" type="noConversion"/>
  </si>
  <si>
    <t>Suggested Trade:</t>
    <phoneticPr fontId="1" type="noConversion"/>
  </si>
</sst>
</file>

<file path=xl/styles.xml><?xml version="1.0" encoding="utf-8"?>
<styleSheet xmlns="http://schemas.openxmlformats.org/spreadsheetml/2006/main">
  <numFmts count="2">
    <numFmt numFmtId="164" formatCode="0.000%"/>
    <numFmt numFmtId="165" formatCode="0.00000%"/>
  </numFmts>
  <fonts count="4">
    <font>
      <sz val="10"/>
      <name val="Verdana"/>
    </font>
    <font>
      <sz val="8"/>
      <name val="Verdana"/>
      <family val="2"/>
    </font>
    <font>
      <sz val="10"/>
      <name val="Verdana"/>
    </font>
    <font>
      <b/>
      <sz val="10"/>
      <name val="Verdana"/>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xf numFmtId="10" fontId="0" fillId="0" borderId="0" xfId="0" applyNumberFormat="1"/>
    <xf numFmtId="14" fontId="0" fillId="0" borderId="0" xfId="0" applyNumberFormat="1"/>
    <xf numFmtId="164" fontId="0" fillId="0" borderId="0" xfId="0" applyNumberFormat="1"/>
    <xf numFmtId="165" fontId="0" fillId="0" borderId="0" xfId="0" applyNumberFormat="1"/>
    <xf numFmtId="4" fontId="0" fillId="0" borderId="0" xfId="0" applyNumberFormat="1"/>
    <xf numFmtId="14" fontId="2" fillId="0" borderId="0" xfId="0" applyNumberFormat="1" applyFont="1"/>
    <xf numFmtId="0" fontId="2" fillId="0" borderId="0" xfId="0" applyFont="1"/>
    <xf numFmtId="0" fontId="3" fillId="0" borderId="0" xfId="0" applyFont="1"/>
    <xf numFmtId="4" fontId="3" fillId="0" borderId="0" xfId="0" applyNumberFormat="1" applyFont="1"/>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5"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sheetPr published="0" enableFormatConditionsCalculation="0"/>
  <dimension ref="A1:X81"/>
  <sheetViews>
    <sheetView tabSelected="1" topLeftCell="A27" workbookViewId="0">
      <selection activeCell="H63" sqref="H63"/>
    </sheetView>
  </sheetViews>
  <sheetFormatPr baseColWidth="10" defaultColWidth="11" defaultRowHeight="13"/>
  <cols>
    <col min="3" max="3" width="13.7109375" customWidth="1"/>
    <col min="4" max="4" width="14" customWidth="1"/>
    <col min="5" max="5" width="13.42578125" customWidth="1"/>
    <col min="6" max="6" width="15.42578125" customWidth="1"/>
    <col min="8" max="8" width="13.85546875" customWidth="1"/>
    <col min="12" max="12" width="16.140625" customWidth="1"/>
    <col min="13" max="13" width="13.85546875" customWidth="1"/>
    <col min="14" max="14" width="12.28515625" customWidth="1"/>
    <col min="18" max="18" width="12" customWidth="1"/>
  </cols>
  <sheetData>
    <row r="1" spans="1:24">
      <c r="A1" t="s">
        <v>26</v>
      </c>
      <c r="E1" t="s">
        <v>34</v>
      </c>
    </row>
    <row r="2" spans="1:24">
      <c r="I2" s="2">
        <v>35448</v>
      </c>
      <c r="J2" s="7" t="s">
        <v>63</v>
      </c>
      <c r="L2" s="7" t="s">
        <v>64</v>
      </c>
      <c r="N2" s="2">
        <v>35475</v>
      </c>
      <c r="W2" t="s">
        <v>86</v>
      </c>
      <c r="X2" t="s">
        <v>87</v>
      </c>
    </row>
    <row r="3" spans="1:24">
      <c r="A3" t="s">
        <v>27</v>
      </c>
      <c r="D3" s="2">
        <v>35447</v>
      </c>
      <c r="E3" s="7" t="s">
        <v>62</v>
      </c>
      <c r="G3" t="s">
        <v>31</v>
      </c>
      <c r="K3" t="s">
        <v>45</v>
      </c>
      <c r="L3" t="s">
        <v>35</v>
      </c>
      <c r="Q3" t="s">
        <v>38</v>
      </c>
      <c r="R3" t="s">
        <v>41</v>
      </c>
      <c r="S3" t="s">
        <v>43</v>
      </c>
      <c r="T3" t="s">
        <v>44</v>
      </c>
      <c r="W3" t="s">
        <v>55</v>
      </c>
    </row>
    <row r="4" spans="1:24">
      <c r="A4" t="s">
        <v>48</v>
      </c>
      <c r="B4" t="s">
        <v>49</v>
      </c>
      <c r="C4" t="s">
        <v>28</v>
      </c>
      <c r="D4" t="s">
        <v>29</v>
      </c>
      <c r="E4" t="s">
        <v>30</v>
      </c>
      <c r="F4" t="s">
        <v>47</v>
      </c>
      <c r="G4" t="s">
        <v>32</v>
      </c>
      <c r="H4" t="s">
        <v>53</v>
      </c>
      <c r="I4" t="s">
        <v>50</v>
      </c>
      <c r="K4" s="2">
        <v>35557</v>
      </c>
      <c r="M4" t="s">
        <v>46</v>
      </c>
      <c r="N4" t="s">
        <v>36</v>
      </c>
      <c r="O4" t="s">
        <v>37</v>
      </c>
      <c r="Q4" t="s">
        <v>40</v>
      </c>
      <c r="R4" t="s">
        <v>42</v>
      </c>
      <c r="S4" t="s">
        <v>33</v>
      </c>
      <c r="T4" t="s">
        <v>33</v>
      </c>
      <c r="U4" t="s">
        <v>73</v>
      </c>
      <c r="W4" s="2">
        <v>35557</v>
      </c>
    </row>
    <row r="5" spans="1:24">
      <c r="A5" s="2">
        <v>35383</v>
      </c>
      <c r="B5" s="2">
        <v>35564</v>
      </c>
      <c r="C5" s="1">
        <v>5.7500000000000002E-2</v>
      </c>
      <c r="D5" s="2">
        <v>37209</v>
      </c>
      <c r="E5" s="3">
        <v>4.8520000000000001E-2</v>
      </c>
      <c r="F5">
        <f>C5*50*(D3-A5)/(B5-A5)</f>
        <v>1.0165745856353592</v>
      </c>
      <c r="G5" s="3">
        <v>5.765E-2</v>
      </c>
      <c r="H5" s="3">
        <f>E5-G5</f>
        <v>-9.1299999999999992E-3</v>
      </c>
      <c r="I5">
        <f>G5*50*(D3-A5)/(B5-A5)</f>
        <v>1.0192265193370165</v>
      </c>
      <c r="K5">
        <v>3.814E-2</v>
      </c>
      <c r="M5">
        <f>PRICE(D3,D5,C5,E5,100,2,1)</f>
        <v>103.81292203378031</v>
      </c>
      <c r="N5">
        <f>MDURATION(D3,D5,C5,E5,2,1)</f>
        <v>4.1517271532692561</v>
      </c>
      <c r="O5">
        <f>(M5+F5)*N5/10000</f>
        <v>4.3522346757837574E-2</v>
      </c>
      <c r="Q5">
        <f>MDURATION(D3,D5,G5,G5,2,1)</f>
        <v>4.1189493129705994</v>
      </c>
      <c r="R5">
        <f>Q5*(U5+I5)/10000</f>
        <v>4.1605429997006727E-2</v>
      </c>
      <c r="S5">
        <f>((N2-I2)/360)*(U5+I5)/10000</f>
        <v>7.5757359770107417E-4</v>
      </c>
      <c r="T5">
        <f>R5-S5</f>
        <v>4.0847856399305653E-2</v>
      </c>
      <c r="U5">
        <f>PRICE(I2,D5,G5,G5,100,2,1)</f>
        <v>99.990586507472884</v>
      </c>
      <c r="W5">
        <f>C5*50*(W4-A5)/(B5-A5)</f>
        <v>2.7638121546961325</v>
      </c>
      <c r="X5">
        <f>G5*50*(W4-A5)/(B5-A5)</f>
        <v>2.7710220994475137</v>
      </c>
    </row>
    <row r="6" spans="1:24">
      <c r="A6" s="2">
        <v>35383</v>
      </c>
      <c r="B6" s="2">
        <v>35564</v>
      </c>
      <c r="C6" s="1">
        <v>6.7500000000000004E-2</v>
      </c>
      <c r="D6" s="2">
        <v>37025</v>
      </c>
      <c r="E6" s="3">
        <v>4.9709999999999997E-2</v>
      </c>
      <c r="F6">
        <f>C6*50*(D3-A6)/(B6-A6)</f>
        <v>1.1933701657458564</v>
      </c>
      <c r="G6" s="3">
        <v>5.7250000000000002E-2</v>
      </c>
      <c r="H6" s="3">
        <f>E6-G6</f>
        <v>-7.540000000000005E-3</v>
      </c>
      <c r="I6">
        <f>G6*50*(D3-A6)/(B6-A6)</f>
        <v>1.0121546961325967</v>
      </c>
      <c r="K6">
        <v>5.006E-2</v>
      </c>
      <c r="M6">
        <f>PRICE(D3,D6,C6,E6,100,2,1)</f>
        <v>106.83531244763302</v>
      </c>
      <c r="N6">
        <f>MDURATION(D3,D6,C6,E6,2,1)</f>
        <v>3.7077607795151279</v>
      </c>
      <c r="O6">
        <f>(M6+F6)*N6/10000</f>
        <v>4.0054451245657402E-2</v>
      </c>
      <c r="Q6">
        <f>MDURATION(D3,D6,G6,G6,2,1)</f>
        <v>3.7462613235065745</v>
      </c>
      <c r="R6">
        <f>Q6*(U6+I6)/10000</f>
        <v>3.7838314689183576E-2</v>
      </c>
      <c r="S6">
        <f>((N2-I2)/360)*(U6+I6)/10000</f>
        <v>7.5752152789823612E-4</v>
      </c>
      <c r="T6">
        <f>R6-S6</f>
        <v>3.708079316128534E-2</v>
      </c>
      <c r="U6">
        <f>PRICE(I2,D6,G6,G6,100,2,1)</f>
        <v>99.990715690298885</v>
      </c>
      <c r="W6">
        <f>C6*50*(W4-A6)/(B6-A6)</f>
        <v>3.2444751381215471</v>
      </c>
      <c r="X6">
        <f>G6*50*(W4-A6)/(B6-A6)</f>
        <v>2.7517955801104974</v>
      </c>
    </row>
    <row r="8" spans="1:24">
      <c r="D8" t="s">
        <v>51</v>
      </c>
      <c r="E8" s="4">
        <f>E5-E6</f>
        <v>-1.1899999999999966E-3</v>
      </c>
      <c r="G8" s="4">
        <f>G5-G6</f>
        <v>3.9999999999999758E-4</v>
      </c>
      <c r="H8" s="4"/>
    </row>
    <row r="10" spans="1:24">
      <c r="F10" s="4">
        <f>E8-G8</f>
        <v>-1.5899999999999942E-3</v>
      </c>
    </row>
    <row r="11" spans="1:24">
      <c r="D11" t="s">
        <v>52</v>
      </c>
    </row>
    <row r="12" spans="1:24">
      <c r="A12" t="s">
        <v>78</v>
      </c>
    </row>
    <row r="13" spans="1:24">
      <c r="A13" t="s">
        <v>79</v>
      </c>
      <c r="N13" s="2"/>
      <c r="O13" s="2"/>
    </row>
    <row r="14" spans="1:24">
      <c r="N14" s="2"/>
      <c r="O14" s="2"/>
    </row>
    <row r="15" spans="1:24">
      <c r="A15" t="s">
        <v>80</v>
      </c>
      <c r="N15" s="2"/>
      <c r="O15" s="2"/>
    </row>
    <row r="16" spans="1:24">
      <c r="N16" s="2"/>
      <c r="O16" s="2"/>
    </row>
    <row r="17" spans="1:15">
      <c r="A17" t="s">
        <v>81</v>
      </c>
      <c r="N17" s="2"/>
      <c r="O17" s="2"/>
    </row>
    <row r="18" spans="1:15">
      <c r="N18" s="2"/>
      <c r="O18" s="2"/>
    </row>
    <row r="19" spans="1:15">
      <c r="N19" s="6" t="s">
        <v>61</v>
      </c>
    </row>
    <row r="20" spans="1:15">
      <c r="E20" t="s">
        <v>84</v>
      </c>
      <c r="F20" t="s">
        <v>89</v>
      </c>
      <c r="G20" t="s">
        <v>59</v>
      </c>
      <c r="I20">
        <v>5.5219999999999998E-2</v>
      </c>
      <c r="K20" t="s">
        <v>12</v>
      </c>
      <c r="L20" t="s">
        <v>11</v>
      </c>
      <c r="M20" t="s">
        <v>13</v>
      </c>
      <c r="N20" t="s">
        <v>39</v>
      </c>
    </row>
    <row r="21" spans="1:15">
      <c r="C21" t="s">
        <v>57</v>
      </c>
      <c r="D21" t="s">
        <v>56</v>
      </c>
      <c r="E21" t="s">
        <v>88</v>
      </c>
      <c r="F21" t="s">
        <v>90</v>
      </c>
      <c r="K21" t="s">
        <v>10</v>
      </c>
      <c r="L21" t="s">
        <v>9</v>
      </c>
      <c r="M21" t="s">
        <v>14</v>
      </c>
      <c r="N21" t="s">
        <v>9</v>
      </c>
    </row>
    <row r="22" spans="1:15">
      <c r="B22" t="s">
        <v>54</v>
      </c>
      <c r="C22">
        <f>(M5+F5)*(1+K5*(K4-D3)/360)-W5</f>
        <v>103.28735577060036</v>
      </c>
      <c r="D22">
        <f>YIELD(W4,D5,C5,C22,100,2,1)</f>
        <v>4.9293564815065624E-2</v>
      </c>
      <c r="E22">
        <f>(U5+I5)*(1+I20*(W4-D3)/360)-X5</f>
        <v>99.943107055938611</v>
      </c>
      <c r="F22">
        <f>YIELD(W4,D5,G5,E22,100,2,1)</f>
        <v>5.77909391636642E-2</v>
      </c>
      <c r="K22">
        <f>MDURATION(K4,D5,C5,D22,2,1)</f>
        <v>3.8524845663943235</v>
      </c>
      <c r="L22">
        <f>K22*(C22+W5)/10000</f>
        <v>4.0856048768029743E-2</v>
      </c>
      <c r="M22">
        <f>MDURATION(W4,D5,G5,F22,2,1)</f>
        <v>3.8231270368479175</v>
      </c>
      <c r="N22">
        <f>M22*(E22+X5)/10000</f>
        <v>3.9268916424024573E-2</v>
      </c>
    </row>
    <row r="23" spans="1:15">
      <c r="B23" t="s">
        <v>58</v>
      </c>
      <c r="C23">
        <f>(M6+F6)*(1+K6*(K4-D3)/360)-W6</f>
        <v>106.43662620769854</v>
      </c>
      <c r="D23">
        <f>YIELD(W4,D6,C6,C23,100,2,1)</f>
        <v>4.9633865441454393E-2</v>
      </c>
      <c r="E23">
        <f>(U6+I6)*(1+I20*(W4-D3)/360)-X6</f>
        <v>99.95527379326893</v>
      </c>
      <c r="F23">
        <f>YIELD(W4,D6,G6,E23,100,2,1)</f>
        <v>5.7371917748306342E-2</v>
      </c>
      <c r="K23">
        <f>MDURATION(K4,D6,C6,D23,2,1)</f>
        <v>3.4114789511749528</v>
      </c>
      <c r="L23">
        <f>K23*(C23+W6)/10000</f>
        <v>3.7417476858295204E-2</v>
      </c>
      <c r="M23">
        <f>MDURATION(W4,D6,G6,F23,2,1)</f>
        <v>3.4505147195718173</v>
      </c>
      <c r="N23">
        <f>M23*(E23+X6)/10000</f>
        <v>3.5439225467692952E-2</v>
      </c>
    </row>
    <row r="25" spans="1:15">
      <c r="B25" t="s">
        <v>60</v>
      </c>
      <c r="D25" s="4">
        <f>D22-D23</f>
        <v>-3.4030062638876896E-4</v>
      </c>
      <c r="F25" s="4">
        <f>F22-F23</f>
        <v>4.1902141535785781E-4</v>
      </c>
    </row>
    <row r="27" spans="1:15">
      <c r="C27" t="s">
        <v>91</v>
      </c>
      <c r="E27" s="4">
        <f>D25-F25</f>
        <v>-7.5932204174662676E-4</v>
      </c>
    </row>
    <row r="29" spans="1:15">
      <c r="A29" t="s">
        <v>82</v>
      </c>
    </row>
    <row r="30" spans="1:15">
      <c r="A30" t="s">
        <v>83</v>
      </c>
      <c r="E30" t="s">
        <v>68</v>
      </c>
    </row>
    <row r="32" spans="1:15">
      <c r="A32" t="s">
        <v>69</v>
      </c>
    </row>
    <row r="33" spans="1:9">
      <c r="B33" t="s">
        <v>70</v>
      </c>
    </row>
    <row r="35" spans="1:9">
      <c r="A35" t="s">
        <v>71</v>
      </c>
    </row>
    <row r="38" spans="1:9">
      <c r="A38" t="s">
        <v>92</v>
      </c>
    </row>
    <row r="39" spans="1:9">
      <c r="B39" t="s">
        <v>2</v>
      </c>
      <c r="F39" t="s">
        <v>6</v>
      </c>
    </row>
    <row r="40" spans="1:9">
      <c r="F40" t="s">
        <v>7</v>
      </c>
    </row>
    <row r="41" spans="1:9">
      <c r="B41" t="s">
        <v>3</v>
      </c>
      <c r="C41" s="5">
        <v>100000000</v>
      </c>
      <c r="D41" t="s">
        <v>4</v>
      </c>
      <c r="F41" s="5">
        <f>(M5+F5)*C41/100</f>
        <v>104829496.61941567</v>
      </c>
    </row>
    <row r="42" spans="1:9">
      <c r="B42" t="s">
        <v>5</v>
      </c>
      <c r="C42" s="5"/>
      <c r="F42" s="5">
        <f>-F41</f>
        <v>-104829496.61941567</v>
      </c>
    </row>
    <row r="43" spans="1:9">
      <c r="B43" t="s">
        <v>8</v>
      </c>
      <c r="C43">
        <f>L22/L23</f>
        <v>1.0918974820979206</v>
      </c>
      <c r="D43" t="s">
        <v>15</v>
      </c>
      <c r="F43" s="5">
        <f>-C43*C41*(M6+F6)/100</f>
        <v>-117956246.53990382</v>
      </c>
    </row>
    <row r="44" spans="1:9">
      <c r="B44" t="s">
        <v>16</v>
      </c>
      <c r="F44" s="5">
        <f>-F43</f>
        <v>117956246.53990382</v>
      </c>
    </row>
    <row r="45" spans="1:9">
      <c r="B45" t="s">
        <v>17</v>
      </c>
      <c r="E45">
        <f>L22/N22</f>
        <v>1.0404170139778588</v>
      </c>
      <c r="F45" s="5"/>
      <c r="G45" t="s">
        <v>72</v>
      </c>
      <c r="I45">
        <f>E45*C41</f>
        <v>104041701.39778587</v>
      </c>
    </row>
    <row r="46" spans="1:9">
      <c r="B46" t="s">
        <v>18</v>
      </c>
      <c r="E46">
        <f>L22/L23*L23/N23</f>
        <v>1.1528482417110066</v>
      </c>
      <c r="F46" s="5"/>
      <c r="G46" t="s">
        <v>72</v>
      </c>
      <c r="I46">
        <f>E46*C41</f>
        <v>115284824.17110066</v>
      </c>
    </row>
    <row r="48" spans="1:9">
      <c r="F48">
        <f>SUM(F41:F46)</f>
        <v>0</v>
      </c>
    </row>
    <row r="53" spans="1:9">
      <c r="A53" t="s">
        <v>19</v>
      </c>
      <c r="D53" s="2">
        <v>35557</v>
      </c>
      <c r="F53" t="s">
        <v>85</v>
      </c>
    </row>
    <row r="54" spans="1:9">
      <c r="A54" t="s">
        <v>28</v>
      </c>
      <c r="B54" t="s">
        <v>29</v>
      </c>
      <c r="C54" t="s">
        <v>30</v>
      </c>
      <c r="D54" t="s">
        <v>47</v>
      </c>
      <c r="E54" t="s">
        <v>20</v>
      </c>
      <c r="F54" t="s">
        <v>32</v>
      </c>
      <c r="G54" t="s">
        <v>53</v>
      </c>
      <c r="H54" t="s">
        <v>50</v>
      </c>
      <c r="I54" t="s">
        <v>25</v>
      </c>
    </row>
    <row r="55" spans="1:9">
      <c r="A55" s="1">
        <v>5.7500000000000002E-2</v>
      </c>
      <c r="B55" s="2">
        <v>37209</v>
      </c>
      <c r="C55" s="3">
        <v>4.725E-2</v>
      </c>
      <c r="D55">
        <f>A55*50*(D53-A5)/(B5-A5)</f>
        <v>2.7638121546961325</v>
      </c>
      <c r="E55">
        <f>PRICE(D53,B55,A55,C55,100,2,1)</f>
        <v>104.12631306165977</v>
      </c>
      <c r="F55" s="3">
        <v>5.3850000000000002E-2</v>
      </c>
      <c r="G55" s="3">
        <f>C55-F55</f>
        <v>-6.6000000000000017E-3</v>
      </c>
      <c r="H55">
        <f>F55*50*(D53-A5)/(B5-A5)</f>
        <v>2.5883701657458564</v>
      </c>
      <c r="I55">
        <f>PRICE(D53,B55,G5,F55,100,2,1)</f>
        <v>101.50508006307831</v>
      </c>
    </row>
    <row r="56" spans="1:9">
      <c r="A56" s="1">
        <v>6.7500000000000004E-2</v>
      </c>
      <c r="B56" s="2">
        <v>37025</v>
      </c>
      <c r="C56" s="3">
        <v>4.6440000000000002E-2</v>
      </c>
      <c r="D56">
        <f>A56*50*(D53-A6)/(B6-A6)</f>
        <v>3.2444751381215471</v>
      </c>
      <c r="E56">
        <f>PRICE(D53,B56,A56,C56,100,2,1)</f>
        <v>107.63983024970175</v>
      </c>
      <c r="F56" s="3">
        <v>5.2749999999999998E-2</v>
      </c>
      <c r="G56" s="3">
        <f>C56-F56</f>
        <v>-6.3099999999999962E-3</v>
      </c>
      <c r="H56">
        <f>F56*50*(D53-A6)/(B6-A6)</f>
        <v>2.5354972375690603</v>
      </c>
      <c r="I56">
        <f>PRICE(D53,B56,G6,F56,100,2,1)</f>
        <v>101.60944382986179</v>
      </c>
    </row>
    <row r="57" spans="1:9">
      <c r="F57" s="4">
        <f>F55-F56</f>
        <v>1.1000000000000038E-3</v>
      </c>
    </row>
    <row r="58" spans="1:9">
      <c r="B58" t="s">
        <v>76</v>
      </c>
      <c r="C58" s="4">
        <f>C55-C56</f>
        <v>8.0999999999999822E-4</v>
      </c>
    </row>
    <row r="59" spans="1:9">
      <c r="C59" t="s">
        <v>77</v>
      </c>
      <c r="E59" s="4">
        <f>C58-F57</f>
        <v>-2.9000000000000553E-4</v>
      </c>
    </row>
    <row r="60" spans="1:9">
      <c r="E60" s="4"/>
    </row>
    <row r="61" spans="1:9">
      <c r="E61" s="4"/>
    </row>
    <row r="62" spans="1:9">
      <c r="B62" t="s">
        <v>21</v>
      </c>
      <c r="F62" s="5">
        <f>-C41*(E55+D55)/100</f>
        <v>-106890125.21635589</v>
      </c>
    </row>
    <row r="63" spans="1:9">
      <c r="B63" t="s">
        <v>22</v>
      </c>
      <c r="F63" s="5">
        <f>K5*(K4-D3)*F41/360</f>
        <v>1221671.3058808236</v>
      </c>
      <c r="H63" s="5">
        <f>F41+F62+F63</f>
        <v>-838957.29105939576</v>
      </c>
    </row>
    <row r="64" spans="1:9">
      <c r="F64" s="5"/>
    </row>
    <row r="65" spans="1:14">
      <c r="B65" t="s">
        <v>23</v>
      </c>
      <c r="F65" s="5">
        <f>C43*C41*(E56+D56)/100</f>
        <v>121074293.85714115</v>
      </c>
    </row>
    <row r="66" spans="1:14">
      <c r="B66" t="s">
        <v>24</v>
      </c>
      <c r="F66" s="5">
        <f>-K6*(K4-D3)/360*F44</f>
        <v>-1804271.8533239844</v>
      </c>
      <c r="H66" s="5">
        <f>F43+F65+F66</f>
        <v>1313775.463913348</v>
      </c>
    </row>
    <row r="70" spans="1:14">
      <c r="B70" t="s">
        <v>74</v>
      </c>
      <c r="F70" s="5">
        <f>C41*E45*(I55-E22)/100</f>
        <v>1625103.2920023019</v>
      </c>
    </row>
    <row r="71" spans="1:14">
      <c r="B71" t="s">
        <v>75</v>
      </c>
      <c r="F71" s="5">
        <f>C41*E46*(E23-I56)/100</f>
        <v>-1907007.0181771091</v>
      </c>
    </row>
    <row r="73" spans="1:14">
      <c r="G73" s="8" t="s">
        <v>67</v>
      </c>
      <c r="H73" s="9">
        <f>H63+H66+F70+F71</f>
        <v>192914.44667914486</v>
      </c>
      <c r="N73">
        <f>K73*(M73-L73)</f>
        <v>0</v>
      </c>
    </row>
    <row r="75" spans="1:14">
      <c r="A75" s="7" t="s">
        <v>65</v>
      </c>
    </row>
    <row r="76" spans="1:14">
      <c r="B76" s="7" t="s">
        <v>66</v>
      </c>
    </row>
    <row r="80" spans="1:14">
      <c r="A80" s="7" t="s">
        <v>0</v>
      </c>
    </row>
    <row r="81" spans="6:8">
      <c r="F81" s="7" t="s">
        <v>1</v>
      </c>
      <c r="H81" s="5">
        <f>L22*C41*(E59-E27)*100</f>
        <v>191746.44225511249</v>
      </c>
    </row>
  </sheetData>
  <sheetCalcPr fullCalcOnLoad="1"/>
  <phoneticPr fontId="1" type="noConversion"/>
  <pageMargins left="0.75" right="0.75" top="1" bottom="1" header="0.5" footer="0.5"/>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University of Arizona</Company>
  <LinksUpToDate>false</LinksUpToDate>
  <SharedDoc>false</SharedDoc>
  <HyperlinksChanged>false</HyperlinksChanged>
  <AppVersion>12.0256</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Lamoureux</dc:creator>
  <cp:lastModifiedBy>Chris Lamoureux</cp:lastModifiedBy>
  <dcterms:created xsi:type="dcterms:W3CDTF">2017-01-10T20:26:23Z</dcterms:created>
  <dcterms:modified xsi:type="dcterms:W3CDTF">2017-01-12T20:33:47Z</dcterms:modified>
</cp:coreProperties>
</file>