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20" yWindow="-740" windowWidth="24560" windowHeight="1652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F21" i="1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R7"/>
  <c r="Q11"/>
  <c r="R11"/>
  <c r="T11"/>
  <c r="Q12"/>
  <c r="R12"/>
  <c r="T12"/>
  <c r="Q13"/>
  <c r="R13"/>
  <c r="T13"/>
  <c r="Q14"/>
  <c r="R14"/>
  <c r="T14"/>
  <c r="Q15"/>
  <c r="R15"/>
  <c r="T15"/>
  <c r="Q16"/>
  <c r="R16"/>
  <c r="T16"/>
  <c r="Q17"/>
  <c r="R17"/>
  <c r="T17"/>
  <c r="Q18"/>
  <c r="R18"/>
  <c r="T18"/>
  <c r="Q19"/>
  <c r="R19"/>
  <c r="T19"/>
  <c r="Q20"/>
  <c r="R20"/>
  <c r="T20"/>
  <c r="Q21"/>
  <c r="R21"/>
  <c r="T21"/>
  <c r="Q22"/>
  <c r="R22"/>
  <c r="T22"/>
  <c r="Q23"/>
  <c r="R23"/>
  <c r="T23"/>
  <c r="Q24"/>
  <c r="R24"/>
  <c r="T24"/>
  <c r="Q25"/>
  <c r="R25"/>
  <c r="T25"/>
  <c r="Q26"/>
  <c r="R26"/>
  <c r="T26"/>
  <c r="Q27"/>
  <c r="R27"/>
  <c r="T27"/>
  <c r="Q28"/>
  <c r="R28"/>
  <c r="T28"/>
  <c r="Q29"/>
  <c r="R29"/>
  <c r="T29"/>
  <c r="Q30"/>
  <c r="R30"/>
  <c r="T30"/>
  <c r="Q31"/>
  <c r="R31"/>
  <c r="T31"/>
  <c r="T32"/>
  <c r="P35"/>
  <c r="N40"/>
  <c r="F3"/>
  <c r="B14"/>
  <c r="D14"/>
  <c r="E14"/>
  <c r="F14"/>
  <c r="G14"/>
  <c r="B15"/>
  <c r="D15"/>
  <c r="E15"/>
  <c r="F15"/>
  <c r="G15"/>
  <c r="B16"/>
  <c r="D16"/>
  <c r="E16"/>
  <c r="F16"/>
  <c r="G16"/>
  <c r="B17"/>
  <c r="D17"/>
  <c r="E17"/>
  <c r="F17"/>
  <c r="G17"/>
  <c r="B18"/>
  <c r="D18"/>
  <c r="E18"/>
  <c r="F18"/>
  <c r="G18"/>
  <c r="B19"/>
  <c r="D19"/>
  <c r="E19"/>
  <c r="F19"/>
  <c r="G19"/>
  <c r="B20"/>
  <c r="D20"/>
  <c r="E20"/>
  <c r="F20"/>
  <c r="G20"/>
  <c r="B21"/>
  <c r="D21"/>
  <c r="E21"/>
  <c r="G21"/>
  <c r="B22"/>
  <c r="D22"/>
  <c r="E22"/>
  <c r="F22"/>
  <c r="G22"/>
  <c r="B23"/>
  <c r="D23"/>
  <c r="E23"/>
  <c r="F23"/>
  <c r="G23"/>
  <c r="B24"/>
  <c r="D24"/>
  <c r="E24"/>
  <c r="F24"/>
  <c r="G24"/>
  <c r="G25"/>
  <c r="E4"/>
  <c r="D8"/>
  <c r="D9"/>
  <c r="C10"/>
  <c r="C12"/>
</calcChain>
</file>

<file path=xl/sharedStrings.xml><?xml version="1.0" encoding="utf-8"?>
<sst xmlns="http://schemas.openxmlformats.org/spreadsheetml/2006/main" count="73" uniqueCount="72">
  <si>
    <t xml:space="preserve">  risk by buying credit protection--the notional principal is matched to the bond</t>
    <phoneticPr fontId="1" type="noConversion"/>
  </si>
  <si>
    <t>position.</t>
    <phoneticPr fontId="1" type="noConversion"/>
  </si>
  <si>
    <t>The fact that the value of these riskless cash flows exceeds their cost implies that</t>
    <phoneticPr fontId="1" type="noConversion"/>
  </si>
  <si>
    <t>the bond and the CDS are mis-aligned.  In particular given the yield on the bond,</t>
    <phoneticPr fontId="1" type="noConversion"/>
  </si>
  <si>
    <t>the CDS spreads are too low.  --Converesly, given the CDS spread, the yield on the</t>
    <phoneticPr fontId="1" type="noConversion"/>
  </si>
  <si>
    <t>bond is too high.</t>
    <phoneticPr fontId="1" type="noConversion"/>
  </si>
  <si>
    <t xml:space="preserve">In this block I compare the CDS actual cash flows--using the 100 bp (standardized) spread to those at the </t>
    <phoneticPr fontId="1" type="noConversion"/>
  </si>
  <si>
    <t xml:space="preserve">   market spread.  This approximates the principal up-front payment on the swap.</t>
    <phoneticPr fontId="1" type="noConversion"/>
  </si>
  <si>
    <t>Bond Cash Flow</t>
    <phoneticPr fontId="1" type="noConversion"/>
  </si>
  <si>
    <t>CDS Cash Flow</t>
    <phoneticPr fontId="1" type="noConversion"/>
  </si>
  <si>
    <t>Linearly</t>
    <phoneticPr fontId="1" type="noConversion"/>
  </si>
  <si>
    <t>Interpolated</t>
    <phoneticPr fontId="1" type="noConversion"/>
  </si>
  <si>
    <t>Disct Factor</t>
    <phoneticPr fontId="1" type="noConversion"/>
  </si>
  <si>
    <t>PV of</t>
    <phoneticPr fontId="1" type="noConversion"/>
  </si>
  <si>
    <t>Cash Flow</t>
    <phoneticPr fontId="1" type="noConversion"/>
  </si>
  <si>
    <t>Ann Pmt:</t>
    <phoneticPr fontId="1" type="noConversion"/>
  </si>
  <si>
    <t>% of Year</t>
    <phoneticPr fontId="1" type="noConversion"/>
  </si>
  <si>
    <t>Cash Flows @ Spread</t>
    <phoneticPr fontId="1" type="noConversion"/>
  </si>
  <si>
    <t>RNE(</t>
    <phoneticPr fontId="1" type="noConversion"/>
  </si>
  <si>
    <t>Cash payment from seller of CP to Buyer:</t>
    <phoneticPr fontId="1" type="noConversion"/>
  </si>
  <si>
    <t>Disc Cashflow)</t>
    <phoneticPr fontId="1" type="noConversion"/>
  </si>
  <si>
    <t>Disc Cash Flows @ Spread)</t>
    <phoneticPr fontId="1" type="noConversion"/>
  </si>
  <si>
    <t>Bloombeg pegs this as:</t>
    <phoneticPr fontId="1" type="noConversion"/>
  </si>
  <si>
    <t>ERNW</t>
    <phoneticPr fontId="1" type="noConversion"/>
  </si>
  <si>
    <t>There is a C code used by Markit that my simple exposition simply approximates.</t>
    <phoneticPr fontId="1" type="noConversion"/>
  </si>
  <si>
    <t>Approx error:</t>
    <phoneticPr fontId="1" type="noConversion"/>
  </si>
  <si>
    <t>(To buy)</t>
    <phoneticPr fontId="1" type="noConversion"/>
  </si>
  <si>
    <t>Settlement Date:</t>
    <phoneticPr fontId="1" type="noConversion"/>
  </si>
  <si>
    <t>Cash Bond:</t>
    <phoneticPr fontId="1" type="noConversion"/>
  </si>
  <si>
    <t>Bid:</t>
    <phoneticPr fontId="1" type="noConversion"/>
  </si>
  <si>
    <t>Ask:</t>
    <phoneticPr fontId="1" type="noConversion"/>
  </si>
  <si>
    <t>Last Coupon:</t>
    <phoneticPr fontId="1" type="noConversion"/>
  </si>
  <si>
    <t>Next Coupon:</t>
    <phoneticPr fontId="1" type="noConversion"/>
  </si>
  <si>
    <t>S/A coupon:</t>
    <phoneticPr fontId="1" type="noConversion"/>
  </si>
  <si>
    <t>AI</t>
    <phoneticPr fontId="1" type="noConversion"/>
  </si>
  <si>
    <t>Dirty Price:</t>
    <phoneticPr fontId="1" type="noConversion"/>
  </si>
  <si>
    <t>666807BA9</t>
    <phoneticPr fontId="1" type="noConversion"/>
  </si>
  <si>
    <t>NOC</t>
    <phoneticPr fontId="1" type="noConversion"/>
  </si>
  <si>
    <t>CDS</t>
    <phoneticPr fontId="1" type="noConversion"/>
  </si>
  <si>
    <t>Date</t>
  </si>
  <si>
    <t>Act Cashflow</t>
  </si>
  <si>
    <t>Disc Factor</t>
  </si>
  <si>
    <t>Survival Prob</t>
  </si>
  <si>
    <t>06/20/2014</t>
  </si>
  <si>
    <t>09/22/2014</t>
  </si>
  <si>
    <t>12/22/2014</t>
  </si>
  <si>
    <t>03/20/2015</t>
  </si>
  <si>
    <t>06/22/2015</t>
  </si>
  <si>
    <t>09/21/2015</t>
  </si>
  <si>
    <t>12/21/2015</t>
  </si>
  <si>
    <t>03/21/2016</t>
  </si>
  <si>
    <t>06/20/2016</t>
  </si>
  <si>
    <t>09/20/2016</t>
  </si>
  <si>
    <t>12/20/2016</t>
  </si>
  <si>
    <t>03/20/2017</t>
  </si>
  <si>
    <t>06/20/2017</t>
  </si>
  <si>
    <t>09/20/2017</t>
  </si>
  <si>
    <t>12/20/2017</t>
  </si>
  <si>
    <t>03/20/2018</t>
  </si>
  <si>
    <t>06/20/2018</t>
  </si>
  <si>
    <t>09/20/2018</t>
  </si>
  <si>
    <t>12/20/2018</t>
  </si>
  <si>
    <t>03/20/2019</t>
  </si>
  <si>
    <t>06/20/2019</t>
  </si>
  <si>
    <t>Total</t>
  </si>
  <si>
    <t>Settlement:</t>
    <phoneticPr fontId="1" type="noConversion"/>
  </si>
  <si>
    <t>Spread:</t>
    <phoneticPr fontId="1" type="noConversion"/>
  </si>
  <si>
    <t>Coupon:</t>
    <phoneticPr fontId="1" type="noConversion"/>
  </si>
  <si>
    <t>Notional Principal:</t>
    <phoneticPr fontId="1" type="noConversion"/>
  </si>
  <si>
    <t xml:space="preserve">This block of the spreadsheet constructs the cash flows from owning the bond and purchasing </t>
    <phoneticPr fontId="1" type="noConversion"/>
  </si>
  <si>
    <t xml:space="preserve">   credit protection using a CDS.</t>
    <phoneticPr fontId="1" type="noConversion"/>
  </si>
  <si>
    <t>I am using Libor to discount the future cash flows because I have eliminated default</t>
    <phoneticPr fontId="1" type="noConversion"/>
  </si>
</sst>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8" formatCode="mm/dd/yy"/>
  </numFmts>
  <fonts count="4">
    <font>
      <sz val="10"/>
      <name val="Verdana"/>
    </font>
    <font>
      <sz val="8"/>
      <name val="Verdana"/>
    </font>
    <font>
      <sz val="10"/>
      <name val="Arial"/>
    </font>
    <font>
      <sz val="14"/>
      <color indexed="9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1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2" fillId="0" borderId="0" xfId="0" applyFont="1"/>
    <xf numFmtId="49" fontId="0" fillId="0" borderId="0" xfId="0" applyNumberFormat="1"/>
    <xf numFmtId="0" fontId="0" fillId="0" borderId="0" xfId="0" applyNumberFormat="1"/>
    <xf numFmtId="0" fontId="2" fillId="0" borderId="0" xfId="0" applyNumberFormat="1" applyFont="1"/>
    <xf numFmtId="168" fontId="0" fillId="0" borderId="0" xfId="0" applyNumberFormat="1"/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U50"/>
  <sheetViews>
    <sheetView tabSelected="1" topLeftCell="G1" workbookViewId="0">
      <selection activeCell="K19" sqref="K19"/>
    </sheetView>
  </sheetViews>
  <sheetFormatPr baseColWidth="10" defaultRowHeight="13"/>
  <sheetData>
    <row r="1" spans="1:21" ht="18">
      <c r="A1" s="7" t="s">
        <v>69</v>
      </c>
      <c r="B1" s="7"/>
      <c r="C1" s="7"/>
      <c r="D1" s="7"/>
      <c r="E1" s="7"/>
      <c r="F1" s="7"/>
      <c r="G1" s="7"/>
      <c r="H1" s="7"/>
      <c r="I1" s="7"/>
      <c r="K1" s="7" t="s">
        <v>6</v>
      </c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ht="18">
      <c r="A2" s="7" t="s">
        <v>70</v>
      </c>
      <c r="B2" s="7"/>
      <c r="C2" s="7"/>
      <c r="D2" s="7"/>
      <c r="E2" s="7"/>
      <c r="F2" s="7"/>
      <c r="G2" s="7"/>
      <c r="H2" s="7"/>
      <c r="I2" s="7"/>
      <c r="K2" s="7" t="s">
        <v>7</v>
      </c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ht="18">
      <c r="A3" t="s">
        <v>28</v>
      </c>
      <c r="B3">
        <v>5.0500000000000003E-2</v>
      </c>
      <c r="C3" s="1">
        <v>42216</v>
      </c>
      <c r="E3" t="s">
        <v>33</v>
      </c>
      <c r="F3">
        <f>B3*100/2</f>
        <v>2.5250000000000004</v>
      </c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pans="1:21">
      <c r="A4" t="s">
        <v>36</v>
      </c>
      <c r="B4" t="s">
        <v>27</v>
      </c>
      <c r="D4" s="1">
        <v>40277</v>
      </c>
      <c r="E4">
        <f>VALUE(D4)</f>
        <v>40277</v>
      </c>
    </row>
    <row r="5" spans="1:21">
      <c r="A5" t="s">
        <v>37</v>
      </c>
      <c r="C5" t="s">
        <v>29</v>
      </c>
      <c r="D5">
        <v>111.41</v>
      </c>
    </row>
    <row r="6" spans="1:21">
      <c r="C6" t="s">
        <v>30</v>
      </c>
      <c r="D6">
        <v>112.004</v>
      </c>
      <c r="K6" t="s">
        <v>38</v>
      </c>
      <c r="L6" t="s">
        <v>65</v>
      </c>
      <c r="M6" s="1">
        <v>40281</v>
      </c>
    </row>
    <row r="7" spans="1:21">
      <c r="L7" t="s">
        <v>67</v>
      </c>
      <c r="M7">
        <v>100</v>
      </c>
      <c r="N7" t="s">
        <v>68</v>
      </c>
      <c r="P7">
        <v>10000000</v>
      </c>
      <c r="Q7" t="s">
        <v>15</v>
      </c>
      <c r="R7">
        <f>P7*0.01</f>
        <v>100000</v>
      </c>
    </row>
    <row r="8" spans="1:21">
      <c r="B8" t="s">
        <v>31</v>
      </c>
      <c r="C8" s="1">
        <v>40209</v>
      </c>
      <c r="D8">
        <f>VALUE(C8)</f>
        <v>40209</v>
      </c>
      <c r="L8" t="s">
        <v>66</v>
      </c>
      <c r="M8">
        <v>27.68</v>
      </c>
    </row>
    <row r="9" spans="1:21">
      <c r="B9" t="s">
        <v>32</v>
      </c>
      <c r="C9" s="1">
        <v>40390</v>
      </c>
      <c r="D9">
        <f>VALUE(C9)</f>
        <v>40390</v>
      </c>
      <c r="H9" s="3"/>
      <c r="I9" s="3"/>
      <c r="O9" t="s">
        <v>23</v>
      </c>
      <c r="P9" t="s">
        <v>18</v>
      </c>
      <c r="T9" t="s">
        <v>18</v>
      </c>
    </row>
    <row r="10" spans="1:21">
      <c r="B10" t="s">
        <v>34</v>
      </c>
      <c r="C10">
        <f>(E4-D8)/(D9-D8)*F3</f>
        <v>0.94861878453038684</v>
      </c>
      <c r="L10" s="2" t="s">
        <v>39</v>
      </c>
      <c r="M10" s="2" t="s">
        <v>40</v>
      </c>
      <c r="N10" s="2" t="s">
        <v>41</v>
      </c>
      <c r="O10" s="2" t="s">
        <v>42</v>
      </c>
      <c r="P10" s="2" t="s">
        <v>20</v>
      </c>
      <c r="Q10" s="2" t="s">
        <v>16</v>
      </c>
      <c r="R10" s="2" t="s">
        <v>17</v>
      </c>
      <c r="T10" s="2" t="s">
        <v>21</v>
      </c>
    </row>
    <row r="11" spans="1:21">
      <c r="F11" t="s">
        <v>10</v>
      </c>
      <c r="G11" t="s">
        <v>13</v>
      </c>
      <c r="L11" s="5" t="s">
        <v>43</v>
      </c>
      <c r="M11" s="5">
        <v>25555.56</v>
      </c>
      <c r="N11" s="5">
        <v>0.99959372999999996</v>
      </c>
      <c r="O11" s="5">
        <v>0.99909999999999999</v>
      </c>
      <c r="P11" s="5">
        <f>M11*N11*O11</f>
        <v>25522.186882850427</v>
      </c>
      <c r="Q11">
        <f>M11/$R$7</f>
        <v>0.25555559999999999</v>
      </c>
      <c r="R11" s="4">
        <f>Q11*$P$7*$M$8/10000</f>
        <v>7073.7790079999995</v>
      </c>
      <c r="T11">
        <f>R11*O11*N11</f>
        <v>7064.5413291729974</v>
      </c>
    </row>
    <row r="12" spans="1:21">
      <c r="B12" t="s">
        <v>35</v>
      </c>
      <c r="C12">
        <f>D6+C10</f>
        <v>112.95261878453039</v>
      </c>
      <c r="D12" t="s">
        <v>26</v>
      </c>
      <c r="F12" t="s">
        <v>11</v>
      </c>
      <c r="G12" t="s">
        <v>14</v>
      </c>
      <c r="J12" s="3"/>
      <c r="L12" s="5" t="s">
        <v>44</v>
      </c>
      <c r="M12" s="5">
        <v>26111.11</v>
      </c>
      <c r="N12" s="5">
        <v>0.99856244000000005</v>
      </c>
      <c r="O12" s="5">
        <v>0.99790000000000001</v>
      </c>
      <c r="P12" s="5">
        <f t="shared" ref="P12:P31" si="0">M12*N12*O12</f>
        <v>26018.819207911714</v>
      </c>
      <c r="Q12">
        <f t="shared" ref="Q12:Q31" si="1">M12/$R$7</f>
        <v>0.26111109999999998</v>
      </c>
      <c r="R12" s="4">
        <f t="shared" ref="R12:R31" si="2">Q12*$P$7*$M$8/10000</f>
        <v>7227.5552480000006</v>
      </c>
      <c r="S12" s="4"/>
      <c r="T12">
        <f t="shared" ref="T12:T31" si="3">R12*O12*N12</f>
        <v>7202.009156749963</v>
      </c>
      <c r="U12" s="4"/>
    </row>
    <row r="13" spans="1:21">
      <c r="B13" t="s">
        <v>8</v>
      </c>
      <c r="D13" t="s">
        <v>9</v>
      </c>
      <c r="F13" t="s">
        <v>12</v>
      </c>
      <c r="L13" s="5" t="s">
        <v>45</v>
      </c>
      <c r="M13" s="5">
        <v>25277.78</v>
      </c>
      <c r="N13" s="5">
        <v>0.99680292000000004</v>
      </c>
      <c r="O13" s="5">
        <v>0.99670000000000003</v>
      </c>
      <c r="P13" s="5">
        <f t="shared" si="0"/>
        <v>25113.814930897712</v>
      </c>
      <c r="Q13">
        <f t="shared" si="1"/>
        <v>0.2527778</v>
      </c>
      <c r="R13" s="4">
        <f t="shared" si="2"/>
        <v>6996.8895040000007</v>
      </c>
      <c r="S13" s="4"/>
      <c r="T13">
        <f t="shared" si="3"/>
        <v>6951.5039728724878</v>
      </c>
      <c r="U13" s="4"/>
    </row>
    <row r="14" spans="1:21">
      <c r="A14" s="6">
        <v>40390</v>
      </c>
      <c r="B14" s="4">
        <f>$F$3</f>
        <v>2.5250000000000004</v>
      </c>
      <c r="D14">
        <f>-$M$8*0.01</f>
        <v>-0.27679999999999999</v>
      </c>
      <c r="E14">
        <f>B14+D14</f>
        <v>2.2482000000000002</v>
      </c>
      <c r="F14">
        <f>(A14-L11)/(L12-L11)*(N12-N11)+N11</f>
        <v>0.99913294085106386</v>
      </c>
      <c r="G14">
        <f>E14*F14</f>
        <v>2.246250677621362</v>
      </c>
      <c r="L14" s="5" t="s">
        <v>46</v>
      </c>
      <c r="M14" s="5">
        <v>24444.44</v>
      </c>
      <c r="N14" s="5">
        <v>0.99490323000000003</v>
      </c>
      <c r="O14" s="5">
        <v>0.99560000000000004</v>
      </c>
      <c r="P14" s="5">
        <f t="shared" si="0"/>
        <v>24212.844961370418</v>
      </c>
      <c r="Q14">
        <f t="shared" si="1"/>
        <v>0.24444439999999998</v>
      </c>
      <c r="R14" s="4">
        <f t="shared" si="2"/>
        <v>6766.2209920000005</v>
      </c>
      <c r="S14" s="4"/>
      <c r="T14">
        <f t="shared" si="3"/>
        <v>6702.1154853073331</v>
      </c>
      <c r="U14" s="4"/>
    </row>
    <row r="15" spans="1:21">
      <c r="A15" s="6">
        <v>40574</v>
      </c>
      <c r="B15" s="4">
        <f t="shared" ref="B15:B23" si="4">$F$3</f>
        <v>2.5250000000000004</v>
      </c>
      <c r="D15">
        <f>-$M$8*0.01</f>
        <v>-0.27679999999999999</v>
      </c>
      <c r="E15">
        <f t="shared" ref="E15:E24" si="5">B15+D15</f>
        <v>2.2482000000000002</v>
      </c>
      <c r="F15">
        <f>(A15-L13)/(L14-L13)*(N14-N13)+N13</f>
        <v>0.99591783715909099</v>
      </c>
      <c r="G15">
        <f t="shared" ref="G15:G24" si="6">E15*F15</f>
        <v>2.2390224815010686</v>
      </c>
      <c r="L15" s="5" t="s">
        <v>47</v>
      </c>
      <c r="M15" s="5">
        <v>26111.11</v>
      </c>
      <c r="N15" s="5">
        <v>0.99345764000000003</v>
      </c>
      <c r="O15" s="5">
        <v>0.99439999999999995</v>
      </c>
      <c r="P15" s="5">
        <f t="shared" si="0"/>
        <v>25795.016140757467</v>
      </c>
      <c r="Q15">
        <f t="shared" si="1"/>
        <v>0.26111109999999998</v>
      </c>
      <c r="R15" s="4">
        <f t="shared" si="2"/>
        <v>7227.5552480000006</v>
      </c>
      <c r="S15" s="4"/>
      <c r="T15">
        <f t="shared" si="3"/>
        <v>7140.0604677616684</v>
      </c>
      <c r="U15" s="4"/>
    </row>
    <row r="16" spans="1:21">
      <c r="A16" s="6">
        <v>40755</v>
      </c>
      <c r="B16" s="4">
        <f t="shared" si="4"/>
        <v>2.5250000000000004</v>
      </c>
      <c r="D16">
        <f>-$M$8*0.01</f>
        <v>-0.27679999999999999</v>
      </c>
      <c r="E16">
        <f t="shared" si="5"/>
        <v>2.2482000000000002</v>
      </c>
      <c r="F16">
        <f>(A16-L15)/(L16-L15)*(N16-N15)+N15</f>
        <v>0.99292785098901104</v>
      </c>
      <c r="G16">
        <f t="shared" si="6"/>
        <v>2.2323003945934947</v>
      </c>
      <c r="L16" s="5" t="s">
        <v>48</v>
      </c>
      <c r="M16" s="5">
        <v>25277.78</v>
      </c>
      <c r="N16" s="5">
        <v>0.99225236999999999</v>
      </c>
      <c r="O16" s="5">
        <v>0.99329999999999996</v>
      </c>
      <c r="P16" s="5">
        <f t="shared" si="0"/>
        <v>24913.88813467923</v>
      </c>
      <c r="Q16">
        <f t="shared" si="1"/>
        <v>0.2527778</v>
      </c>
      <c r="R16" s="4">
        <f t="shared" si="2"/>
        <v>6996.8895040000007</v>
      </c>
      <c r="S16" s="4"/>
      <c r="T16">
        <f t="shared" si="3"/>
        <v>6896.1642356792117</v>
      </c>
      <c r="U16" s="4"/>
    </row>
    <row r="17" spans="1:21">
      <c r="A17" s="6">
        <v>40939</v>
      </c>
      <c r="B17" s="4">
        <f t="shared" si="4"/>
        <v>2.5250000000000004</v>
      </c>
      <c r="D17">
        <f>-$M$8*0.01</f>
        <v>-0.27679999999999999</v>
      </c>
      <c r="E17">
        <f t="shared" si="5"/>
        <v>2.2482000000000002</v>
      </c>
      <c r="F17">
        <f>(A17-L17)/(L18-L17)*(N18-N17)+N17</f>
        <v>0.99049363923076927</v>
      </c>
      <c r="G17">
        <f t="shared" si="6"/>
        <v>2.2268277997186159</v>
      </c>
      <c r="L17" s="5" t="s">
        <v>49</v>
      </c>
      <c r="M17" s="5">
        <v>25277.78</v>
      </c>
      <c r="N17" s="5">
        <v>0.99104857000000002</v>
      </c>
      <c r="O17" s="5">
        <v>0.99209999999999998</v>
      </c>
      <c r="P17" s="5">
        <f t="shared" si="0"/>
        <v>24853.600810772579</v>
      </c>
      <c r="Q17">
        <f t="shared" si="1"/>
        <v>0.2527778</v>
      </c>
      <c r="R17" s="4">
        <f t="shared" si="2"/>
        <v>6996.8895040000007</v>
      </c>
      <c r="S17" s="4"/>
      <c r="T17">
        <f t="shared" si="3"/>
        <v>6879.4767044218506</v>
      </c>
      <c r="U17" s="4"/>
    </row>
    <row r="18" spans="1:21">
      <c r="A18" s="6">
        <v>41121</v>
      </c>
      <c r="B18" s="4">
        <f t="shared" si="4"/>
        <v>2.5250000000000004</v>
      </c>
      <c r="D18">
        <f>-$M$8*0.01</f>
        <v>-0.27679999999999999</v>
      </c>
      <c r="E18">
        <f t="shared" si="5"/>
        <v>2.2482000000000002</v>
      </c>
      <c r="F18">
        <f>(A18-L19)/(L20-L19)*(N20-N19)+N19</f>
        <v>0.98393261826086964</v>
      </c>
      <c r="G18">
        <f t="shared" si="6"/>
        <v>2.2120773123740873</v>
      </c>
      <c r="L18" s="5" t="s">
        <v>50</v>
      </c>
      <c r="M18" s="5">
        <v>25277.78</v>
      </c>
      <c r="N18" s="5">
        <v>0.98984622</v>
      </c>
      <c r="O18" s="5">
        <v>0.99099999999999999</v>
      </c>
      <c r="P18" s="5">
        <f t="shared" si="0"/>
        <v>24795.924948144675</v>
      </c>
      <c r="Q18">
        <f t="shared" si="1"/>
        <v>0.2527778</v>
      </c>
      <c r="R18" s="4">
        <f t="shared" si="2"/>
        <v>6996.8895040000007</v>
      </c>
      <c r="S18" s="4"/>
      <c r="T18">
        <f t="shared" si="3"/>
        <v>6863.5120256464461</v>
      </c>
      <c r="U18" s="4"/>
    </row>
    <row r="19" spans="1:21">
      <c r="A19" s="6">
        <v>41305</v>
      </c>
      <c r="B19" s="4">
        <f t="shared" si="4"/>
        <v>2.5250000000000004</v>
      </c>
      <c r="D19">
        <f>-$M$8*0.01</f>
        <v>-0.27679999999999999</v>
      </c>
      <c r="E19">
        <f t="shared" si="5"/>
        <v>2.2482000000000002</v>
      </c>
      <c r="F19">
        <f>(A19-L21)/(L22-L21)*(N22-N21)+N21</f>
        <v>0.9747380413333333</v>
      </c>
      <c r="G19">
        <f t="shared" si="6"/>
        <v>2.1914060645256002</v>
      </c>
      <c r="L19" s="5" t="s">
        <v>51</v>
      </c>
      <c r="M19" s="5">
        <v>25277.78</v>
      </c>
      <c r="N19" s="5">
        <v>0.98604079</v>
      </c>
      <c r="O19" s="5">
        <v>0.98980000000000001</v>
      </c>
      <c r="P19" s="5">
        <f t="shared" si="0"/>
        <v>24670.687954607605</v>
      </c>
      <c r="Q19">
        <f t="shared" si="1"/>
        <v>0.2527778</v>
      </c>
      <c r="R19" s="4">
        <f t="shared" si="2"/>
        <v>6996.8895040000007</v>
      </c>
      <c r="S19" s="4"/>
      <c r="T19">
        <f t="shared" si="3"/>
        <v>6828.846425835387</v>
      </c>
      <c r="U19" s="4"/>
    </row>
    <row r="20" spans="1:21">
      <c r="A20" s="6">
        <v>41486</v>
      </c>
      <c r="B20" s="4">
        <f t="shared" si="4"/>
        <v>2.5250000000000004</v>
      </c>
      <c r="D20">
        <f>-$M$8*0.01</f>
        <v>-0.27679999999999999</v>
      </c>
      <c r="E20">
        <f t="shared" si="5"/>
        <v>2.2482000000000002</v>
      </c>
      <c r="F20">
        <f>(A20-L23)/(L24-L23)*(N24-N23)+N23</f>
        <v>0.96324172739130431</v>
      </c>
      <c r="G20">
        <f t="shared" si="6"/>
        <v>2.1655600515211306</v>
      </c>
      <c r="L20" s="5" t="s">
        <v>52</v>
      </c>
      <c r="M20" s="5">
        <v>25555.56</v>
      </c>
      <c r="N20" s="5">
        <v>0.98142289000000005</v>
      </c>
      <c r="O20" s="5">
        <v>0.98860000000000003</v>
      </c>
      <c r="P20" s="5">
        <f t="shared" si="0"/>
        <v>24794.890299089642</v>
      </c>
      <c r="Q20">
        <f t="shared" si="1"/>
        <v>0.25555559999999999</v>
      </c>
      <c r="R20" s="4">
        <f t="shared" si="2"/>
        <v>7073.7790079999995</v>
      </c>
      <c r="S20" s="4"/>
      <c r="T20">
        <f t="shared" si="3"/>
        <v>6863.225634788012</v>
      </c>
      <c r="U20" s="4"/>
    </row>
    <row r="21" spans="1:21">
      <c r="A21" s="6">
        <v>41670</v>
      </c>
      <c r="B21" s="4">
        <f t="shared" si="4"/>
        <v>2.5250000000000004</v>
      </c>
      <c r="D21">
        <f>-$M$8*0.01</f>
        <v>-0.27679999999999999</v>
      </c>
      <c r="E21">
        <f t="shared" si="5"/>
        <v>2.2482000000000002</v>
      </c>
      <c r="F21">
        <f>(A21-L25)/(L26-L25)*(N26-N25)+N25</f>
        <v>0.95012304511111112</v>
      </c>
      <c r="G21">
        <f t="shared" si="6"/>
        <v>2.1360666300188003</v>
      </c>
      <c r="L21" s="5" t="s">
        <v>53</v>
      </c>
      <c r="M21" s="5">
        <v>25277.78</v>
      </c>
      <c r="N21" s="5">
        <v>0.97687645999999995</v>
      </c>
      <c r="O21" s="5">
        <v>0.98750000000000004</v>
      </c>
      <c r="P21" s="5">
        <f t="shared" si="0"/>
        <v>24384.602390020566</v>
      </c>
      <c r="Q21">
        <f t="shared" si="1"/>
        <v>0.2527778</v>
      </c>
      <c r="R21" s="4">
        <f t="shared" si="2"/>
        <v>6996.8895040000007</v>
      </c>
      <c r="S21" s="4"/>
      <c r="T21">
        <f t="shared" si="3"/>
        <v>6749.6579415576925</v>
      </c>
      <c r="U21" s="4"/>
    </row>
    <row r="22" spans="1:21">
      <c r="A22" s="6">
        <v>41851</v>
      </c>
      <c r="B22" s="4">
        <f t="shared" si="4"/>
        <v>2.5250000000000004</v>
      </c>
      <c r="D22">
        <f>-$M$8*0.01</f>
        <v>-0.27679999999999999</v>
      </c>
      <c r="E22">
        <f t="shared" si="5"/>
        <v>2.2482000000000002</v>
      </c>
      <c r="F22">
        <f>(A22-L27)/(L28-L27)*(N28-N27)+N27</f>
        <v>0.93580787478260874</v>
      </c>
      <c r="G22">
        <f t="shared" si="6"/>
        <v>2.103883264086261</v>
      </c>
      <c r="L22" s="5" t="s">
        <v>54</v>
      </c>
      <c r="M22" s="5">
        <v>25000</v>
      </c>
      <c r="N22" s="5">
        <v>0.97240070000000001</v>
      </c>
      <c r="O22" s="5">
        <v>0.98640000000000005</v>
      </c>
      <c r="P22" s="5">
        <f t="shared" si="0"/>
        <v>23979.401262000003</v>
      </c>
      <c r="Q22">
        <f t="shared" si="1"/>
        <v>0.25</v>
      </c>
      <c r="R22" s="4">
        <f t="shared" si="2"/>
        <v>6920</v>
      </c>
      <c r="S22" s="4"/>
      <c r="T22">
        <f t="shared" si="3"/>
        <v>6637.4982693216007</v>
      </c>
      <c r="U22" s="4"/>
    </row>
    <row r="23" spans="1:21">
      <c r="A23" s="6">
        <v>42035</v>
      </c>
      <c r="B23" s="4">
        <f t="shared" si="4"/>
        <v>2.5250000000000004</v>
      </c>
      <c r="D23">
        <f>-$M$8*0.01</f>
        <v>-0.27679999999999999</v>
      </c>
      <c r="E23">
        <f t="shared" si="5"/>
        <v>2.2482000000000002</v>
      </c>
      <c r="F23">
        <f>(A23-L29)/(L30-L29)*(N30-N29)+N29</f>
        <v>0.92049586722222221</v>
      </c>
      <c r="G23">
        <f t="shared" si="6"/>
        <v>2.0694588086890002</v>
      </c>
      <c r="L23" s="5" t="s">
        <v>55</v>
      </c>
      <c r="M23" s="5">
        <v>25555.56</v>
      </c>
      <c r="N23" s="5">
        <v>0.96625583000000004</v>
      </c>
      <c r="O23" s="5">
        <v>0.98519999999999996</v>
      </c>
      <c r="P23" s="5">
        <f t="shared" si="0"/>
        <v>24327.74934809886</v>
      </c>
      <c r="Q23">
        <f t="shared" si="1"/>
        <v>0.25555559999999999</v>
      </c>
      <c r="R23" s="4">
        <f t="shared" si="2"/>
        <v>7073.7790079999995</v>
      </c>
      <c r="S23" s="4"/>
      <c r="T23">
        <f t="shared" si="3"/>
        <v>6733.9210195537644</v>
      </c>
      <c r="U23" s="4"/>
    </row>
    <row r="24" spans="1:21">
      <c r="A24" s="6">
        <v>42216</v>
      </c>
      <c r="B24" s="4">
        <f>100+$F$3</f>
        <v>102.52500000000001</v>
      </c>
      <c r="D24">
        <f>-$M$8*0.01</f>
        <v>-0.27679999999999999</v>
      </c>
      <c r="E24">
        <f t="shared" si="5"/>
        <v>102.24820000000001</v>
      </c>
      <c r="F24">
        <f>EXP(-LN(N31)/(-(L31-M6)/365)*((A24-D4)/365))</f>
        <v>0.90624146295683894</v>
      </c>
      <c r="G24">
        <f t="shared" si="6"/>
        <v>92.661558352703466</v>
      </c>
      <c r="L24" s="5" t="s">
        <v>56</v>
      </c>
      <c r="M24" s="5">
        <v>25555.56</v>
      </c>
      <c r="N24" s="5">
        <v>0.95965350999999999</v>
      </c>
      <c r="O24" s="5">
        <v>0.98399999999999999</v>
      </c>
      <c r="P24" s="5">
        <f t="shared" si="0"/>
        <v>24132.091128351352</v>
      </c>
      <c r="Q24">
        <f t="shared" si="1"/>
        <v>0.25555559999999999</v>
      </c>
      <c r="R24" s="4">
        <f t="shared" si="2"/>
        <v>7073.7790079999995</v>
      </c>
      <c r="S24" s="4"/>
      <c r="T24">
        <f t="shared" si="3"/>
        <v>6679.7628243276531</v>
      </c>
      <c r="U24" s="4"/>
    </row>
    <row r="25" spans="1:21">
      <c r="G25">
        <f>SUM(G14:G24)</f>
        <v>114.48441183735288</v>
      </c>
      <c r="L25" s="5" t="s">
        <v>57</v>
      </c>
      <c r="M25" s="5">
        <v>25277.78</v>
      </c>
      <c r="N25" s="5">
        <v>0.95316734000000003</v>
      </c>
      <c r="O25" s="5">
        <v>0.9829</v>
      </c>
      <c r="P25" s="5">
        <f t="shared" si="0"/>
        <v>23681.947704769838</v>
      </c>
      <c r="Q25">
        <f t="shared" si="1"/>
        <v>0.2527778</v>
      </c>
      <c r="R25" s="4">
        <f t="shared" si="2"/>
        <v>6996.8895040000007</v>
      </c>
      <c r="S25" s="4"/>
      <c r="T25">
        <f t="shared" si="3"/>
        <v>6555.1631246802926</v>
      </c>
      <c r="U25" s="4"/>
    </row>
    <row r="26" spans="1:21" ht="18">
      <c r="A26" s="7" t="s">
        <v>71</v>
      </c>
      <c r="B26" s="7"/>
      <c r="C26" s="7"/>
      <c r="D26" s="7"/>
      <c r="E26" s="7"/>
      <c r="F26" s="7"/>
      <c r="G26" s="7"/>
      <c r="H26" s="7"/>
      <c r="L26" s="5" t="s">
        <v>58</v>
      </c>
      <c r="M26" s="5">
        <v>25000</v>
      </c>
      <c r="N26" s="5">
        <v>0.94679555999999998</v>
      </c>
      <c r="O26" s="5">
        <v>0.98180000000000001</v>
      </c>
      <c r="P26" s="5">
        <f t="shared" si="0"/>
        <v>23239.097020199999</v>
      </c>
      <c r="Q26">
        <f t="shared" si="1"/>
        <v>0.25</v>
      </c>
      <c r="R26" s="4">
        <f t="shared" si="2"/>
        <v>6920</v>
      </c>
      <c r="S26" s="4"/>
      <c r="T26">
        <f t="shared" si="3"/>
        <v>6432.5820551913603</v>
      </c>
      <c r="U26" s="4"/>
    </row>
    <row r="27" spans="1:21" ht="18">
      <c r="A27" s="7" t="s">
        <v>0</v>
      </c>
      <c r="B27" s="7"/>
      <c r="C27" s="7"/>
      <c r="D27" s="7"/>
      <c r="E27" s="7"/>
      <c r="F27" s="7"/>
      <c r="G27" s="7"/>
      <c r="H27" s="7"/>
      <c r="L27" s="5" t="s">
        <v>59</v>
      </c>
      <c r="M27" s="5">
        <v>25555.56</v>
      </c>
      <c r="N27" s="5">
        <v>0.93933056999999998</v>
      </c>
      <c r="O27" s="5">
        <v>0.98060000000000003</v>
      </c>
      <c r="P27" s="5">
        <f t="shared" si="0"/>
        <v>23539.419437884699</v>
      </c>
      <c r="Q27">
        <f t="shared" si="1"/>
        <v>0.25555559999999999</v>
      </c>
      <c r="R27" s="4">
        <f t="shared" si="2"/>
        <v>7073.7790079999995</v>
      </c>
      <c r="S27" s="4"/>
      <c r="T27">
        <f t="shared" si="3"/>
        <v>6515.711300406484</v>
      </c>
      <c r="U27" s="4"/>
    </row>
    <row r="28" spans="1:21" ht="18">
      <c r="A28" s="7" t="s">
        <v>1</v>
      </c>
      <c r="B28" s="7"/>
      <c r="C28" s="7"/>
      <c r="D28" s="7"/>
      <c r="E28" s="7"/>
      <c r="F28" s="7"/>
      <c r="G28" s="7"/>
      <c r="H28" s="7"/>
      <c r="L28" s="5" t="s">
        <v>60</v>
      </c>
      <c r="M28" s="5">
        <v>25555.56</v>
      </c>
      <c r="N28" s="5">
        <v>0.93161419000000001</v>
      </c>
      <c r="O28" s="5">
        <v>0.97950000000000004</v>
      </c>
      <c r="P28" s="5">
        <f t="shared" si="0"/>
        <v>23319.859921643776</v>
      </c>
      <c r="Q28">
        <f t="shared" si="1"/>
        <v>0.25555559999999999</v>
      </c>
      <c r="R28" s="4">
        <f t="shared" si="2"/>
        <v>7073.7790079999995</v>
      </c>
      <c r="S28" s="4"/>
      <c r="T28">
        <f t="shared" si="3"/>
        <v>6454.9372263109963</v>
      </c>
      <c r="U28" s="4"/>
    </row>
    <row r="29" spans="1:21" ht="18">
      <c r="A29" s="7" t="s">
        <v>2</v>
      </c>
      <c r="B29" s="7"/>
      <c r="C29" s="7"/>
      <c r="D29" s="7"/>
      <c r="E29" s="7"/>
      <c r="F29" s="7"/>
      <c r="G29" s="7"/>
      <c r="H29" s="7"/>
      <c r="L29" s="5" t="s">
        <v>61</v>
      </c>
      <c r="M29" s="5">
        <v>25277.78</v>
      </c>
      <c r="N29" s="5">
        <v>0.92404405999999994</v>
      </c>
      <c r="O29" s="5">
        <v>0.97829999999999995</v>
      </c>
      <c r="P29" s="5">
        <f t="shared" si="0"/>
        <v>22850.918579626781</v>
      </c>
      <c r="Q29">
        <f t="shared" si="1"/>
        <v>0.2527778</v>
      </c>
      <c r="R29" s="4">
        <f t="shared" si="2"/>
        <v>6996.8895040000007</v>
      </c>
      <c r="S29" s="4"/>
      <c r="T29">
        <f t="shared" si="3"/>
        <v>6325.1342628406937</v>
      </c>
      <c r="U29" s="4"/>
    </row>
    <row r="30" spans="1:21" ht="18">
      <c r="A30" s="7" t="s">
        <v>3</v>
      </c>
      <c r="B30" s="7"/>
      <c r="C30" s="7"/>
      <c r="D30" s="7"/>
      <c r="E30" s="7"/>
      <c r="F30" s="7"/>
      <c r="G30" s="7"/>
      <c r="H30" s="7"/>
      <c r="L30" s="5" t="s">
        <v>62</v>
      </c>
      <c r="M30" s="5">
        <v>25000</v>
      </c>
      <c r="N30" s="5">
        <v>0.91661760999999997</v>
      </c>
      <c r="O30" s="5">
        <v>0.97719999999999996</v>
      </c>
      <c r="P30" s="5">
        <f t="shared" si="0"/>
        <v>22392.968212299998</v>
      </c>
      <c r="Q30">
        <f t="shared" si="1"/>
        <v>0.25</v>
      </c>
      <c r="R30" s="4">
        <f t="shared" si="2"/>
        <v>6920</v>
      </c>
      <c r="S30" s="4"/>
      <c r="T30">
        <f t="shared" si="3"/>
        <v>6198.3736011646397</v>
      </c>
      <c r="U30" s="4"/>
    </row>
    <row r="31" spans="1:21" ht="18">
      <c r="A31" s="7" t="s">
        <v>4</v>
      </c>
      <c r="B31" s="7"/>
      <c r="C31" s="7"/>
      <c r="D31" s="7"/>
      <c r="E31" s="7"/>
      <c r="F31" s="7"/>
      <c r="G31" s="7"/>
      <c r="H31" s="7"/>
      <c r="L31" s="5" t="s">
        <v>63</v>
      </c>
      <c r="M31" s="5">
        <v>25833.33</v>
      </c>
      <c r="N31" s="5">
        <v>0.90836053000000005</v>
      </c>
      <c r="O31" s="5">
        <v>0.97599999999999998</v>
      </c>
      <c r="P31" s="5">
        <f t="shared" si="0"/>
        <v>22902.793874533745</v>
      </c>
      <c r="Q31">
        <f t="shared" si="1"/>
        <v>0.25833330000000004</v>
      </c>
      <c r="R31" s="4">
        <f t="shared" si="2"/>
        <v>7150.6657440000008</v>
      </c>
      <c r="S31" s="4"/>
      <c r="T31">
        <f t="shared" si="3"/>
        <v>6339.4933444709404</v>
      </c>
      <c r="U31" s="4"/>
    </row>
    <row r="32" spans="1:21" ht="18">
      <c r="A32" s="7" t="s">
        <v>5</v>
      </c>
      <c r="B32" s="7"/>
      <c r="C32" s="7"/>
      <c r="D32" s="7"/>
      <c r="E32" s="7"/>
      <c r="F32" s="7"/>
      <c r="G32" s="7"/>
      <c r="H32" s="7"/>
      <c r="L32" s="5" t="s">
        <v>64</v>
      </c>
      <c r="M32" s="5">
        <v>533055.56000000006</v>
      </c>
      <c r="N32" s="5"/>
      <c r="O32" s="5"/>
      <c r="P32" s="5">
        <f>SUM(P11:P31)</f>
        <v>509442.52315051109</v>
      </c>
      <c r="R32" s="4"/>
      <c r="S32" s="4"/>
      <c r="T32" s="4">
        <f>SUM(T11:T31)</f>
        <v>141013.69040806152</v>
      </c>
      <c r="U32" s="4"/>
    </row>
    <row r="33" spans="1:21" ht="18">
      <c r="A33" s="7"/>
      <c r="B33" s="7"/>
      <c r="C33" s="7"/>
      <c r="D33" s="7"/>
      <c r="E33" s="7"/>
      <c r="F33" s="7"/>
      <c r="G33" s="7"/>
      <c r="H33" s="7"/>
      <c r="R33" s="4"/>
      <c r="S33" s="4"/>
      <c r="T33" s="5"/>
      <c r="U33" s="4"/>
    </row>
    <row r="34" spans="1:21">
      <c r="R34" s="4"/>
      <c r="S34" s="4"/>
      <c r="T34" s="4"/>
      <c r="U34" s="4"/>
    </row>
    <row r="35" spans="1:21" ht="18">
      <c r="K35" s="7"/>
      <c r="L35" s="7" t="s">
        <v>19</v>
      </c>
      <c r="M35" s="7"/>
      <c r="N35" s="7"/>
      <c r="O35" s="7"/>
      <c r="P35" s="7">
        <f>P32-T32</f>
        <v>368428.83274244959</v>
      </c>
      <c r="Q35" s="7"/>
      <c r="R35" s="7"/>
      <c r="S35" s="7"/>
      <c r="T35" s="7"/>
      <c r="U35" s="7"/>
    </row>
    <row r="36" spans="1:21" ht="18"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</row>
    <row r="37" spans="1:21" ht="18">
      <c r="K37" s="7"/>
      <c r="L37" s="7" t="s">
        <v>22</v>
      </c>
      <c r="M37" s="7"/>
      <c r="N37" s="7"/>
      <c r="O37" s="7">
        <v>364434</v>
      </c>
      <c r="P37" s="7"/>
      <c r="Q37" s="7"/>
      <c r="R37" s="7"/>
      <c r="S37" s="7"/>
      <c r="T37" s="7"/>
      <c r="U37" s="7"/>
    </row>
    <row r="38" spans="1:21" ht="18"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</row>
    <row r="39" spans="1:21" ht="18">
      <c r="K39" s="7"/>
      <c r="L39" s="7" t="s">
        <v>24</v>
      </c>
      <c r="M39" s="7"/>
      <c r="N39" s="7"/>
      <c r="O39" s="7"/>
      <c r="P39" s="7"/>
      <c r="Q39" s="7"/>
      <c r="R39" s="7"/>
      <c r="S39" s="7"/>
      <c r="T39" s="7"/>
      <c r="U39" s="7"/>
    </row>
    <row r="40" spans="1:21" ht="18">
      <c r="K40" s="7"/>
      <c r="L40" s="7" t="s">
        <v>25</v>
      </c>
      <c r="M40" s="7"/>
      <c r="N40" s="7">
        <f>LN(P35)-LN(O37)</f>
        <v>1.0902100997110864E-2</v>
      </c>
      <c r="O40" s="7"/>
      <c r="P40" s="7"/>
      <c r="Q40" s="7"/>
      <c r="R40" s="7"/>
      <c r="S40" s="7"/>
      <c r="T40" s="7"/>
      <c r="U40" s="7"/>
    </row>
    <row r="41" spans="1:21">
      <c r="R41" s="4"/>
      <c r="S41" s="4"/>
      <c r="T41" s="4"/>
      <c r="U41" s="4"/>
    </row>
    <row r="42" spans="1:21">
      <c r="R42" s="4"/>
      <c r="S42" s="4"/>
      <c r="T42" s="4"/>
      <c r="U42" s="4"/>
    </row>
    <row r="43" spans="1:21">
      <c r="R43" s="4"/>
      <c r="S43" s="4"/>
      <c r="T43" s="4"/>
      <c r="U43" s="4"/>
    </row>
    <row r="44" spans="1:21">
      <c r="R44" s="4"/>
      <c r="S44" s="4"/>
      <c r="T44" s="4"/>
      <c r="U44" s="4"/>
    </row>
    <row r="45" spans="1:21">
      <c r="R45" s="4"/>
      <c r="S45" s="4"/>
      <c r="T45" s="4"/>
      <c r="U45" s="4"/>
    </row>
    <row r="46" spans="1:21">
      <c r="R46" s="4"/>
      <c r="S46" s="4"/>
      <c r="T46" s="4"/>
      <c r="U46" s="4"/>
    </row>
    <row r="47" spans="1:21">
      <c r="R47" s="4"/>
      <c r="S47" s="4"/>
      <c r="T47" s="4"/>
      <c r="U47" s="4"/>
    </row>
    <row r="48" spans="1:21">
      <c r="R48" s="4"/>
      <c r="S48" s="4"/>
      <c r="T48" s="4"/>
      <c r="U48" s="4"/>
    </row>
    <row r="49" spans="18:21">
      <c r="R49" s="4"/>
      <c r="S49" s="4"/>
      <c r="T49" s="4"/>
      <c r="U49" s="4"/>
    </row>
    <row r="50" spans="18:21">
      <c r="R50" s="4"/>
      <c r="S50" s="4"/>
      <c r="T50" s="4"/>
      <c r="U50" s="4"/>
    </row>
  </sheetData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2014-04-09T18:36:15Z</dcterms:created>
  <dcterms:modified xsi:type="dcterms:W3CDTF">2014-04-11T19:41:50Z</dcterms:modified>
</cp:coreProperties>
</file>